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\Downloads\"/>
    </mc:Choice>
  </mc:AlternateContent>
  <xr:revisionPtr revIDLastSave="0" documentId="8_{4B2B96DC-D437-491D-91DF-470D5A0EF75E}" xr6:coauthVersionLast="47" xr6:coauthVersionMax="47" xr10:uidLastSave="{00000000-0000-0000-0000-000000000000}"/>
  <bookViews>
    <workbookView xWindow="31920" yWindow="1185" windowWidth="21600" windowHeight="14820" tabRatio="734" activeTab="4" xr2:uid="{00000000-000D-0000-FFFF-FFFF00000000}"/>
  </bookViews>
  <sheets>
    <sheet name="KAT A1" sheetId="12" r:id="rId1"/>
    <sheet name="KAT A2" sheetId="13" r:id="rId2"/>
    <sheet name="KAT B+B1" sheetId="15" r:id="rId3"/>
    <sheet name="KAT_B2" sheetId="14" r:id="rId4"/>
    <sheet name="KAT C" sheetId="16" r:id="rId5"/>
  </sheets>
  <definedNames>
    <definedName name="_xlnm.Print_Area" localSheetId="0">'KAT A1'!$A$1:$K$89</definedName>
    <definedName name="_xlnm.Print_Area" localSheetId="1">'KAT A2'!$A$1:$K$89</definedName>
    <definedName name="_xlnm.Print_Area" localSheetId="2">'KAT B+B1'!$A$1:$K$89</definedName>
    <definedName name="_xlnm.Print_Area" localSheetId="4">'KAT C'!$A$1:$K$89</definedName>
    <definedName name="_xlnm.Print_Area" localSheetId="3">KAT_B2!$A$1:$K$89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6" l="1"/>
  <c r="I30" i="16"/>
  <c r="K30" i="14"/>
  <c r="I30" i="14"/>
  <c r="K30" i="15"/>
  <c r="I30" i="15"/>
  <c r="K30" i="13"/>
  <c r="I30" i="13"/>
  <c r="K30" i="12"/>
  <c r="I30" i="12"/>
  <c r="K8" i="12" l="1"/>
  <c r="F76" i="16" l="1"/>
  <c r="E76" i="16"/>
  <c r="F69" i="16"/>
  <c r="E69" i="16"/>
  <c r="K33" i="16"/>
  <c r="K43" i="16" s="1"/>
  <c r="I33" i="16"/>
  <c r="I43" i="16" s="1"/>
  <c r="K29" i="16"/>
  <c r="I29" i="16"/>
  <c r="K28" i="16"/>
  <c r="I28" i="16"/>
  <c r="K26" i="16"/>
  <c r="I26" i="16"/>
  <c r="K25" i="16"/>
  <c r="I25" i="16"/>
  <c r="F16" i="16"/>
  <c r="F18" i="16" s="1"/>
  <c r="K8" i="16"/>
  <c r="I8" i="16"/>
  <c r="I27" i="16" l="1"/>
  <c r="E78" i="16"/>
  <c r="I16" i="16"/>
  <c r="K27" i="16"/>
  <c r="F78" i="16"/>
  <c r="I9" i="16"/>
  <c r="I10" i="16" s="1"/>
  <c r="I12" i="16"/>
  <c r="I13" i="16"/>
  <c r="I14" i="16"/>
  <c r="I15" i="16"/>
  <c r="K16" i="16"/>
  <c r="I18" i="16"/>
  <c r="I20" i="16" s="1"/>
  <c r="I37" i="16"/>
  <c r="I38" i="16"/>
  <c r="I39" i="16"/>
  <c r="I40" i="16"/>
  <c r="I41" i="16"/>
  <c r="I42" i="16"/>
  <c r="K9" i="16"/>
  <c r="K10" i="16" s="1"/>
  <c r="K12" i="16"/>
  <c r="K13" i="16"/>
  <c r="K14" i="16"/>
  <c r="K15" i="16"/>
  <c r="K18" i="16"/>
  <c r="K20" i="16" s="1"/>
  <c r="K37" i="16"/>
  <c r="K38" i="16"/>
  <c r="K39" i="16"/>
  <c r="K40" i="16"/>
  <c r="K41" i="16"/>
  <c r="K42" i="16"/>
  <c r="I22" i="16" l="1"/>
  <c r="K31" i="16"/>
  <c r="K34" i="16" s="1"/>
  <c r="I31" i="16"/>
  <c r="I34" i="16" s="1"/>
  <c r="I35" i="16" s="1"/>
  <c r="K22" i="16"/>
  <c r="I44" i="16"/>
  <c r="K44" i="16"/>
  <c r="K47" i="16" l="1"/>
  <c r="K35" i="16"/>
  <c r="F44" i="16"/>
  <c r="F45" i="16" s="1"/>
  <c r="I47" i="16"/>
  <c r="K45" i="16" l="1"/>
  <c r="K48" i="16" s="1"/>
  <c r="K49" i="16" s="1"/>
  <c r="I45" i="16"/>
  <c r="I48" i="16" s="1"/>
  <c r="I49" i="16" s="1"/>
  <c r="I69" i="16" s="1"/>
  <c r="F76" i="15"/>
  <c r="E76" i="15"/>
  <c r="F69" i="15"/>
  <c r="E69" i="15"/>
  <c r="K33" i="15"/>
  <c r="K43" i="15" s="1"/>
  <c r="I33" i="15"/>
  <c r="K29" i="15"/>
  <c r="I29" i="15"/>
  <c r="K28" i="15"/>
  <c r="I28" i="15"/>
  <c r="K26" i="15"/>
  <c r="I26" i="15"/>
  <c r="K25" i="15"/>
  <c r="I25" i="15"/>
  <c r="F16" i="15"/>
  <c r="F18" i="15" s="1"/>
  <c r="K8" i="15"/>
  <c r="I8" i="15"/>
  <c r="I16" i="15" s="1"/>
  <c r="K27" i="15" l="1"/>
  <c r="K31" i="15" s="1"/>
  <c r="K34" i="15" s="1"/>
  <c r="I27" i="15"/>
  <c r="I31" i="15" s="1"/>
  <c r="I34" i="15" s="1"/>
  <c r="I35" i="15" s="1"/>
  <c r="I43" i="15"/>
  <c r="I40" i="15"/>
  <c r="E78" i="15"/>
  <c r="F78" i="15"/>
  <c r="I76" i="16"/>
  <c r="I78" i="16"/>
  <c r="I80" i="16" s="1"/>
  <c r="K78" i="16"/>
  <c r="K80" i="16" s="1"/>
  <c r="K76" i="16"/>
  <c r="K69" i="16"/>
  <c r="I9" i="15"/>
  <c r="I10" i="15" s="1"/>
  <c r="I12" i="15"/>
  <c r="I13" i="15"/>
  <c r="I14" i="15"/>
  <c r="I15" i="15"/>
  <c r="K16" i="15"/>
  <c r="I18" i="15"/>
  <c r="I20" i="15" s="1"/>
  <c r="I22" i="15" s="1"/>
  <c r="I37" i="15"/>
  <c r="I38" i="15"/>
  <c r="I39" i="15"/>
  <c r="I41" i="15"/>
  <c r="I42" i="15"/>
  <c r="K9" i="15"/>
  <c r="K10" i="15" s="1"/>
  <c r="K12" i="15"/>
  <c r="K13" i="15"/>
  <c r="K14" i="15"/>
  <c r="K15" i="15"/>
  <c r="K18" i="15"/>
  <c r="K20" i="15" s="1"/>
  <c r="K37" i="15"/>
  <c r="K38" i="15"/>
  <c r="K39" i="15"/>
  <c r="K40" i="15"/>
  <c r="K41" i="15"/>
  <c r="K42" i="15"/>
  <c r="K35" i="15" l="1"/>
  <c r="I84" i="16"/>
  <c r="I82" i="16"/>
  <c r="K84" i="16"/>
  <c r="K82" i="16"/>
  <c r="K22" i="15"/>
  <c r="I44" i="15"/>
  <c r="K44" i="15"/>
  <c r="K47" i="15" s="1"/>
  <c r="F44" i="15" l="1"/>
  <c r="F45" i="15" s="1"/>
  <c r="I47" i="15"/>
  <c r="K45" i="15" l="1"/>
  <c r="K48" i="15" s="1"/>
  <c r="K49" i="15" s="1"/>
  <c r="I45" i="15"/>
  <c r="I48" i="15" s="1"/>
  <c r="I49" i="15" s="1"/>
  <c r="F76" i="14"/>
  <c r="E76" i="14"/>
  <c r="F69" i="14"/>
  <c r="E69" i="14"/>
  <c r="K33" i="14"/>
  <c r="K43" i="14" s="1"/>
  <c r="I33" i="14"/>
  <c r="I43" i="14" s="1"/>
  <c r="K29" i="14"/>
  <c r="I29" i="14"/>
  <c r="K28" i="14"/>
  <c r="I28" i="14"/>
  <c r="K26" i="14"/>
  <c r="I26" i="14"/>
  <c r="K25" i="14"/>
  <c r="I25" i="14"/>
  <c r="F16" i="14"/>
  <c r="F18" i="14" s="1"/>
  <c r="K8" i="14"/>
  <c r="I8" i="14"/>
  <c r="K27" i="14" l="1"/>
  <c r="K31" i="14" s="1"/>
  <c r="K34" i="14" s="1"/>
  <c r="I16" i="14"/>
  <c r="I27" i="14"/>
  <c r="I31" i="14" s="1"/>
  <c r="I34" i="14" s="1"/>
  <c r="I35" i="14" s="1"/>
  <c r="E78" i="14"/>
  <c r="F78" i="14"/>
  <c r="I76" i="15"/>
  <c r="I78" i="15"/>
  <c r="I80" i="15" s="1"/>
  <c r="I69" i="15"/>
  <c r="K78" i="15"/>
  <c r="K80" i="15" s="1"/>
  <c r="K69" i="15"/>
  <c r="K76" i="15"/>
  <c r="I9" i="14"/>
  <c r="I10" i="14" s="1"/>
  <c r="I12" i="14"/>
  <c r="I13" i="14"/>
  <c r="I14" i="14"/>
  <c r="I15" i="14"/>
  <c r="K16" i="14"/>
  <c r="I18" i="14"/>
  <c r="I20" i="14" s="1"/>
  <c r="I22" i="14" s="1"/>
  <c r="I37" i="14"/>
  <c r="I38" i="14"/>
  <c r="I39" i="14"/>
  <c r="I40" i="14"/>
  <c r="I41" i="14"/>
  <c r="I42" i="14"/>
  <c r="K9" i="14"/>
  <c r="K10" i="14" s="1"/>
  <c r="K12" i="14"/>
  <c r="K13" i="14"/>
  <c r="K14" i="14"/>
  <c r="K15" i="14"/>
  <c r="K18" i="14"/>
  <c r="K20" i="14" s="1"/>
  <c r="K37" i="14"/>
  <c r="K38" i="14"/>
  <c r="K39" i="14"/>
  <c r="K40" i="14"/>
  <c r="K41" i="14"/>
  <c r="K42" i="14"/>
  <c r="K35" i="14" l="1"/>
  <c r="K22" i="14"/>
  <c r="I84" i="15"/>
  <c r="I82" i="15"/>
  <c r="K84" i="15"/>
  <c r="K82" i="15"/>
  <c r="I44" i="14"/>
  <c r="K44" i="14"/>
  <c r="K47" i="14" s="1"/>
  <c r="F44" i="14" l="1"/>
  <c r="F45" i="14" s="1"/>
  <c r="I47" i="14"/>
  <c r="K45" i="14" l="1"/>
  <c r="K48" i="14" s="1"/>
  <c r="K49" i="14" s="1"/>
  <c r="I45" i="14"/>
  <c r="I48" i="14" s="1"/>
  <c r="I49" i="14" s="1"/>
  <c r="I76" i="14" l="1"/>
  <c r="I78" i="14"/>
  <c r="I80" i="14" s="1"/>
  <c r="I69" i="14"/>
  <c r="K78" i="14"/>
  <c r="K80" i="14" s="1"/>
  <c r="K76" i="14"/>
  <c r="K69" i="14"/>
  <c r="F76" i="13"/>
  <c r="F78" i="13" s="1"/>
  <c r="E76" i="13"/>
  <c r="E78" i="13" s="1"/>
  <c r="F69" i="13"/>
  <c r="E69" i="13"/>
  <c r="K33" i="13"/>
  <c r="K43" i="13" s="1"/>
  <c r="I33" i="13"/>
  <c r="I43" i="13" s="1"/>
  <c r="K29" i="13"/>
  <c r="I29" i="13"/>
  <c r="K28" i="13"/>
  <c r="I28" i="13"/>
  <c r="K26" i="13"/>
  <c r="I26" i="13"/>
  <c r="K25" i="13"/>
  <c r="I25" i="13"/>
  <c r="F16" i="13"/>
  <c r="F18" i="13" s="1"/>
  <c r="K8" i="13"/>
  <c r="I8" i="13"/>
  <c r="I16" i="13" s="1"/>
  <c r="I27" i="13" l="1"/>
  <c r="I31" i="13" s="1"/>
  <c r="I34" i="13" s="1"/>
  <c r="I35" i="13" s="1"/>
  <c r="K27" i="13"/>
  <c r="K31" i="13" s="1"/>
  <c r="I84" i="14"/>
  <c r="I82" i="14"/>
  <c r="K84" i="14"/>
  <c r="K82" i="14"/>
  <c r="I9" i="13"/>
  <c r="I10" i="13" s="1"/>
  <c r="I12" i="13"/>
  <c r="I13" i="13"/>
  <c r="I14" i="13"/>
  <c r="I15" i="13"/>
  <c r="K16" i="13"/>
  <c r="I18" i="13"/>
  <c r="I20" i="13" s="1"/>
  <c r="I22" i="13" s="1"/>
  <c r="I37" i="13"/>
  <c r="I38" i="13"/>
  <c r="I39" i="13"/>
  <c r="I40" i="13"/>
  <c r="I41" i="13"/>
  <c r="I42" i="13"/>
  <c r="K9" i="13"/>
  <c r="K10" i="13" s="1"/>
  <c r="K12" i="13"/>
  <c r="K13" i="13"/>
  <c r="K14" i="13"/>
  <c r="K15" i="13"/>
  <c r="K18" i="13"/>
  <c r="K20" i="13" s="1"/>
  <c r="K37" i="13"/>
  <c r="K38" i="13"/>
  <c r="K39" i="13"/>
  <c r="K40" i="13"/>
  <c r="K41" i="13"/>
  <c r="K42" i="13"/>
  <c r="K34" i="13" l="1"/>
  <c r="K35" i="13"/>
  <c r="K22" i="13"/>
  <c r="I44" i="13"/>
  <c r="K44" i="13"/>
  <c r="K47" i="13" l="1"/>
  <c r="F44" i="13"/>
  <c r="F45" i="13" s="1"/>
  <c r="I47" i="13"/>
  <c r="K45" i="13" l="1"/>
  <c r="K48" i="13" s="1"/>
  <c r="K49" i="13" s="1"/>
  <c r="I45" i="13"/>
  <c r="I48" i="13" s="1"/>
  <c r="I49" i="13" s="1"/>
  <c r="I76" i="13" l="1"/>
  <c r="I78" i="13"/>
  <c r="I80" i="13" s="1"/>
  <c r="I69" i="13"/>
  <c r="K78" i="13"/>
  <c r="K80" i="13" s="1"/>
  <c r="K76" i="13"/>
  <c r="K69" i="13"/>
  <c r="K84" i="13" l="1"/>
  <c r="K82" i="13"/>
  <c r="I84" i="13"/>
  <c r="I82" i="13"/>
  <c r="I26" i="12" l="1"/>
  <c r="I25" i="12"/>
  <c r="I8" i="12"/>
  <c r="I27" i="12" l="1"/>
  <c r="K25" i="12"/>
  <c r="K15" i="12"/>
  <c r="K14" i="12"/>
  <c r="K13" i="12"/>
  <c r="K12" i="12"/>
  <c r="K9" i="12"/>
  <c r="K10" i="12" s="1"/>
  <c r="I33" i="12"/>
  <c r="I37" i="12" s="1"/>
  <c r="I15" i="12"/>
  <c r="I14" i="12"/>
  <c r="I13" i="12"/>
  <c r="I12" i="12"/>
  <c r="I9" i="12"/>
  <c r="I10" i="12" s="1"/>
  <c r="I43" i="12" l="1"/>
  <c r="I38" i="12"/>
  <c r="I39" i="12"/>
  <c r="I40" i="12"/>
  <c r="I42" i="12"/>
  <c r="I41" i="12"/>
  <c r="F76" i="12"/>
  <c r="E76" i="12"/>
  <c r="F69" i="12"/>
  <c r="E69" i="12"/>
  <c r="K33" i="12"/>
  <c r="K29" i="12"/>
  <c r="I29" i="12"/>
  <c r="K28" i="12"/>
  <c r="I28" i="12"/>
  <c r="K26" i="12"/>
  <c r="K27" i="12" s="1"/>
  <c r="F16" i="12"/>
  <c r="F18" i="12" s="1"/>
  <c r="K31" i="12" l="1"/>
  <c r="K35" i="12" s="1"/>
  <c r="E78" i="12"/>
  <c r="I31" i="12"/>
  <c r="I34" i="12" s="1"/>
  <c r="F44" i="12" s="1"/>
  <c r="F45" i="12" s="1"/>
  <c r="I44" i="12"/>
  <c r="F78" i="12"/>
  <c r="I18" i="12"/>
  <c r="I20" i="12" s="1"/>
  <c r="K18" i="12"/>
  <c r="K20" i="12" s="1"/>
  <c r="K42" i="12"/>
  <c r="K38" i="12"/>
  <c r="K40" i="12"/>
  <c r="K43" i="12"/>
  <c r="K39" i="12"/>
  <c r="K41" i="12"/>
  <c r="K37" i="12"/>
  <c r="K16" i="12"/>
  <c r="I16" i="12"/>
  <c r="K22" i="12" l="1"/>
  <c r="K34" i="12"/>
  <c r="I47" i="12"/>
  <c r="I35" i="12"/>
  <c r="I22" i="12"/>
  <c r="K44" i="12"/>
  <c r="K45" i="12"/>
  <c r="K48" i="12" s="1"/>
  <c r="K49" i="12" l="1"/>
  <c r="K76" i="12" s="1"/>
  <c r="K47" i="12"/>
  <c r="I45" i="12"/>
  <c r="I48" i="12" s="1"/>
  <c r="I49" i="12" s="1"/>
  <c r="K69" i="12" l="1"/>
  <c r="K78" i="12"/>
  <c r="K80" i="12" s="1"/>
  <c r="I76" i="12"/>
  <c r="I69" i="12"/>
  <c r="I78" i="12"/>
  <c r="I80" i="12" s="1"/>
  <c r="I84" i="12" l="1"/>
  <c r="I82" i="12"/>
  <c r="K84" i="12"/>
  <c r="K8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2021 lt. Statistik Austria - Durchschnitt pro Erwerbstätigen entfallende Tage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AC6FE138-3A77-4985-B84F-83BDE9B07FFF}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2021 lt. Statistik Austria - Durchschnitt pro Erwerbstätigen entfallende Tage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6AC325B3-97CB-439D-B8E4-4BCAD325AC3A}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2021 lt. Statistik Austria - Durchschnitt pro Erwerbstätigen entfallende Tage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2AE18581-9883-4A45-958E-1030A09A3E67}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2021 lt. Statistik Austria - Durchschnitt pro Erwerbstätigen entfallende Tage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97073D71-FA78-436C-985E-F1B122B9ED1A}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2021 lt. Statistik Austria - Durchschnitt pro Erwerbstätigen entfallende Tage</t>
        </r>
      </text>
    </comment>
  </commentList>
</comments>
</file>

<file path=xl/sharedStrings.xml><?xml version="1.0" encoding="utf-8"?>
<sst xmlns="http://schemas.openxmlformats.org/spreadsheetml/2006/main" count="871" uniqueCount="151">
  <si>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</si>
  <si>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</si>
  <si>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</si>
  <si>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</si>
  <si>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</si>
  <si>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</si>
  <si>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</si>
  <si>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</si>
  <si>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</si>
  <si>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</si>
  <si>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</si>
  <si>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</si>
  <si>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</si>
  <si>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</si>
  <si>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</si>
  <si>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</si>
  <si>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</si>
  <si>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</si>
  <si>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</si>
  <si>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</si>
  <si>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</si>
  <si>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</si>
  <si>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</si>
  <si>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</si>
  <si>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</si>
  <si>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</si>
  <si>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</si>
  <si>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</si>
  <si>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</si>
  <si>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</si>
  <si>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</si>
  <si>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</si>
  <si>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</si>
  <si>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</si>
  <si>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</si>
  <si>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</si>
  <si>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</si>
  <si>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</si>
  <si>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</si>
  <si>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</si>
  <si>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</si>
  <si>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</si>
  <si>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</si>
  <si>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</si>
  <si>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</si>
  <si>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</si>
  <si>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</si>
  <si>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</si>
  <si>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</si>
  <si>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</si>
  <si>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</si>
  <si>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</si>
  <si>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</si>
  <si>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</si>
  <si>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</si>
  <si>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</si>
  <si>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</si>
  <si>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EDV und Telefon</t>
  </si>
  <si>
    <t>Notwendiger Umsatz je Mitarbeiter und Monat zuzüglich Mehrwertsteuer</t>
  </si>
  <si>
    <t>Notwendiger Umsatz je Mitarbeiter und Jahr zuzüglich Mehrwertsteuer</t>
  </si>
  <si>
    <t>Beispielkalkulation: Verrechnungsstundensatz Leistungskategorie A1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</si>
  <si>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</si>
  <si>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</si>
  <si>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</si>
  <si>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</si>
  <si>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</si>
  <si>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</si>
  <si>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</si>
  <si>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</si>
  <si>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</si>
  <si>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</si>
  <si>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</si>
  <si>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</si>
  <si>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</si>
  <si>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</si>
  <si>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</si>
  <si>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</si>
  <si>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</si>
  <si>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</si>
  <si>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</si>
  <si>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</si>
  <si>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</si>
  <si>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</si>
  <si>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</si>
  <si>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</si>
  <si>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</si>
  <si>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</si>
  <si>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</si>
  <si>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</si>
  <si>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</si>
  <si>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</si>
  <si>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</si>
  <si>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</si>
  <si>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</si>
  <si>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</si>
  <si>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</si>
  <si>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</si>
  <si>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</si>
  <si>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r>
      <rPr>
        <b/>
        <sz val="9"/>
        <color theme="1"/>
        <rFont val="Arial"/>
        <family val="2"/>
      </rPr>
      <t xml:space="preserve">Leistungskategorie A: 
</t>
    </r>
    <r>
      <rPr>
        <sz val="9"/>
        <color theme="1"/>
        <rFont val="Arial"/>
        <family val="2"/>
      </rPr>
      <t xml:space="preserve">Konzeptive und strategische Aufgaben - Senior Experts; Expertentätigkeit, die von Ziviltechnikern erbracht wird, wie Projektleitung, Projektsteuerung, Analytik, Konzeption, Gestaltung, Konstruktion, allgemeine, strategische, ökonomische, ökologische Beratung, Leitung örtl. Bauaufsichten, Vertretung des Auftraggebers und dgl. </t>
    </r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</si>
  <si>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</si>
  <si>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</si>
  <si>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</si>
  <si>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</si>
  <si>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</si>
  <si>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</si>
  <si>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</si>
  <si>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</si>
  <si>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</si>
  <si>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</si>
  <si>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</si>
  <si>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</si>
  <si>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</si>
  <si>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</si>
  <si>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Rücklagenbildung/Honorarausfälle</t>
  </si>
  <si>
    <t>abhängig von betr. Kalkulation</t>
  </si>
  <si>
    <t>anteilige Unternehmervergütung (GF-Gehalt)</t>
  </si>
  <si>
    <t>Beispielkalkulation: Verrechnungsstundensatz Leistungskategorie A2</t>
  </si>
  <si>
    <r>
      <rPr>
        <b/>
        <sz val="9"/>
        <color theme="1"/>
        <rFont val="Arial"/>
        <family val="2"/>
      </rPr>
      <t xml:space="preserve"> Leistungskategorie A: </t>
    </r>
    <r>
      <rPr>
        <sz val="9"/>
        <color theme="1"/>
        <rFont val="Arial"/>
        <family val="2"/>
      </rPr>
      <t xml:space="preserve">
 Konzeptive und strategische Aufgaben - Senior Experts; Expertentätigkeit, die von   
 Ziviltechnikern erbracht wird, wie Projektleitung, Projektsteuerung, Analytik, Konzeption, 
 Gestaltung, Konstruktion, allgemeine, strategische, ökonomische, ökologische Beratung, 
 Leitung örtl. Bauaufsichten, Vertretung des Auftraggebers und dgl. </t>
    </r>
  </si>
  <si>
    <t>Beispielkalkulation: Verrechnungsstundensatz Leistungskategorie B2</t>
  </si>
  <si>
    <r>
      <rPr>
        <b/>
        <sz val="9"/>
        <color theme="1"/>
        <rFont val="Arial"/>
        <family val="2"/>
      </rPr>
      <t xml:space="preserve">Leistungskategorie B2:
</t>
    </r>
    <r>
      <rPr>
        <sz val="9"/>
        <color theme="1"/>
        <rFont val="Arial"/>
        <family val="2"/>
      </rPr>
      <t>Ingenieure, Konstrukteure, Ausschreiber, Bauabrechnung (Fachpersonal mit einschlägiger Ausbildung / mit bis zu 3-jähriger Erfahrung, unterer Bereich der Bandbreite)</t>
    </r>
  </si>
  <si>
    <t>Beispielkalkulation: Verrechnungsstundensatz Leistungskategorie B und B1</t>
  </si>
  <si>
    <r>
      <rPr>
        <b/>
        <sz val="9"/>
        <color theme="1"/>
        <rFont val="Arial"/>
        <family val="2"/>
      </rPr>
      <t xml:space="preserve">Leistungskategorie B und B1:
</t>
    </r>
    <r>
      <rPr>
        <sz val="9"/>
        <color theme="1"/>
        <rFont val="Arial"/>
        <family val="2"/>
      </rPr>
      <t>Technische u. wirtschaftliche Aufgaben; Experts, Junior Experts
Ingenieure und Experten für Entwurf, Konstruktion, Bemessung, Projektmanagement, Bauaufsicht, etc. (Experten mit mehr als 
3-jähriger Erfahrung, oberer Bereich der Bandbreite)</t>
    </r>
  </si>
  <si>
    <t>Beispielkalkulation: Verrechnungsstundensatz Leistungskategorie C</t>
  </si>
  <si>
    <r>
      <rPr>
        <b/>
        <sz val="9"/>
        <color theme="1"/>
        <rFont val="Arial"/>
        <family val="2"/>
      </rPr>
      <t xml:space="preserve">Leistungskategorie C:
</t>
    </r>
    <r>
      <rPr>
        <sz val="9"/>
        <color theme="1"/>
        <rFont val="Arial"/>
        <family val="2"/>
      </rPr>
      <t>Administrative Aufgaben
Kaufmännische Assistenz, Sekretariat, technisches Hilfspersonal (Technisches und kaufmännisches Hilfspersonal)</t>
    </r>
  </si>
  <si>
    <r>
      <t xml:space="preserve">nach Allgemeinen Regelungen: 
Stundensatz 
</t>
    </r>
    <r>
      <rPr>
        <b/>
        <sz val="10"/>
        <color theme="1"/>
        <rFont val="Arial"/>
        <family val="2"/>
      </rPr>
      <t>120 - 200 Euro</t>
    </r>
  </si>
  <si>
    <t xml:space="preserve"> durch den Anwender einzusetzen</t>
  </si>
  <si>
    <r>
      <t xml:space="preserve"> nach  
 Allgemeinen  
 Regelungen: 
 Stundensatz 
 </t>
    </r>
    <r>
      <rPr>
        <b/>
        <sz val="10"/>
        <color theme="1"/>
        <rFont val="Arial"/>
        <family val="2"/>
      </rPr>
      <t>120-200 Euro</t>
    </r>
  </si>
  <si>
    <t>nach Allgemeinen Regelungen: 
Stundensatz 
85 -120  bzw. 
90 - 120 Euro</t>
  </si>
  <si>
    <t>nach Allgemeinen Regelungen: 
Stundensatz 
85 - 100 Euro</t>
  </si>
  <si>
    <r>
      <t xml:space="preserve">nach Allgemeinen Regelungen: 
Stundensatz 
</t>
    </r>
    <r>
      <rPr>
        <b/>
        <sz val="10"/>
        <color theme="1"/>
        <rFont val="Arial"/>
        <family val="2"/>
      </rPr>
      <t>45 - 70 Euro</t>
    </r>
  </si>
  <si>
    <t>19 b)</t>
  </si>
  <si>
    <t>19 a)</t>
  </si>
  <si>
    <t>Pflegeurlaub</t>
  </si>
  <si>
    <t>abzüglich Krankenstandstage*</t>
  </si>
  <si>
    <t>abzüglich gesetzliche Feiertage (durchschnittlich)</t>
  </si>
  <si>
    <r>
      <t xml:space="preserve">Daten aus Kollektivvertrag 2023: 
</t>
    </r>
    <r>
      <rPr>
        <sz val="10"/>
        <color theme="1"/>
        <rFont val="Arial"/>
        <family val="2"/>
      </rPr>
      <t xml:space="preserve">Beschäftigungsgruppe 6 im Jahr 3 
</t>
    </r>
    <r>
      <rPr>
        <b/>
        <sz val="10"/>
        <color theme="1"/>
        <rFont val="Arial"/>
        <family val="2"/>
      </rPr>
      <t xml:space="preserve">Daten aus Kollektivvertrag 2023: </t>
    </r>
    <r>
      <rPr>
        <sz val="10"/>
        <color theme="1"/>
        <rFont val="Arial"/>
        <family val="2"/>
      </rPr>
      <t xml:space="preserve">
Beschäftigungsgruppe 6 im Jahr 14</t>
    </r>
  </si>
  <si>
    <t>2023: BG 6/3</t>
  </si>
  <si>
    <t>2023: BG 6/14</t>
  </si>
  <si>
    <t>Version 01    03.01.2023</t>
  </si>
  <si>
    <t>auf Basis Kollektivvertrag 01.01.2023</t>
  </si>
  <si>
    <t>Version 01     03.01.2023</t>
  </si>
  <si>
    <r>
      <t xml:space="preserve">Daten aus Kollektivvertrag 2023: 
</t>
    </r>
    <r>
      <rPr>
        <sz val="10"/>
        <color theme="1"/>
        <rFont val="Arial"/>
        <family val="2"/>
      </rPr>
      <t xml:space="preserve">Beschäftigungsgruppe 5 im Jahr 5
</t>
    </r>
    <r>
      <rPr>
        <b/>
        <sz val="10"/>
        <color theme="1"/>
        <rFont val="Arial"/>
        <family val="2"/>
      </rPr>
      <t xml:space="preserve">Daten aus Kollektivvertrag 2023: </t>
    </r>
    <r>
      <rPr>
        <sz val="10"/>
        <color theme="1"/>
        <rFont val="Arial"/>
        <family val="2"/>
      </rPr>
      <t xml:space="preserve">
Beschäftigungsgruppe 5 im Jahr 14</t>
    </r>
  </si>
  <si>
    <t>2023: BG 5/14</t>
  </si>
  <si>
    <t>2023: BG 5/5</t>
  </si>
  <si>
    <r>
      <t xml:space="preserve">Daten aus Kollektivvertrag 2023: 
</t>
    </r>
    <r>
      <rPr>
        <sz val="10"/>
        <color theme="1"/>
        <rFont val="Arial"/>
        <family val="2"/>
      </rPr>
      <t xml:space="preserve">Beschäftigungsgruppe 4 im Jahr 3
</t>
    </r>
    <r>
      <rPr>
        <b/>
        <sz val="10"/>
        <color theme="1"/>
        <rFont val="Arial"/>
        <family val="2"/>
      </rPr>
      <t xml:space="preserve">Daten aus Kollektivvertrag 2023: </t>
    </r>
    <r>
      <rPr>
        <sz val="10"/>
        <color theme="1"/>
        <rFont val="Arial"/>
        <family val="2"/>
      </rPr>
      <t xml:space="preserve">
Beschäftigungsgruppe 4 im Jahr 14</t>
    </r>
  </si>
  <si>
    <t>2023: BG 4/3</t>
  </si>
  <si>
    <t>2023: BG 4/14</t>
  </si>
  <si>
    <r>
      <t xml:space="preserve">Daten aus Kollektivvertrag 2023: 
</t>
    </r>
    <r>
      <rPr>
        <sz val="10"/>
        <color theme="1"/>
        <rFont val="Arial"/>
        <family val="2"/>
      </rPr>
      <t xml:space="preserve">Beschäftigungsgruppe 3 im Jahr 5
</t>
    </r>
    <r>
      <rPr>
        <b/>
        <sz val="10"/>
        <color theme="1"/>
        <rFont val="Arial"/>
        <family val="2"/>
      </rPr>
      <t xml:space="preserve">Daten aus Kollektivvertrag 2023: </t>
    </r>
    <r>
      <rPr>
        <sz val="10"/>
        <color theme="1"/>
        <rFont val="Arial"/>
        <family val="2"/>
      </rPr>
      <t xml:space="preserve">
Beschäftigungsgruppe 3 im Jahr 14</t>
    </r>
  </si>
  <si>
    <t>2023: BG 3/14</t>
  </si>
  <si>
    <t>2023: BG 3/5</t>
  </si>
  <si>
    <t>* Werte 2021 lt. Statistik Austria - Pro Erwerbstätigen entfallende 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</si>
</sst>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theme="0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9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9" fontId="9" fillId="0" borderId="24" xfId="0" applyNumberFormat="1" applyFont="1" applyBorder="1" applyAlignment="1">
      <alignment horizontal="center"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4" fontId="13" fillId="3" borderId="0" xfId="0" applyNumberFormat="1" applyFont="1" applyFill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" fontId="1" fillId="0" borderId="37" xfId="0" applyNumberFormat="1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10" fontId="1" fillId="0" borderId="36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4" fontId="1" fillId="0" borderId="46" xfId="0" applyNumberFormat="1" applyFont="1" applyBorder="1" applyAlignment="1">
      <alignment vertical="center"/>
    </xf>
    <xf numFmtId="4" fontId="3" fillId="0" borderId="46" xfId="0" applyNumberFormat="1" applyFont="1" applyBorder="1" applyAlignment="1">
      <alignment vertical="center"/>
    </xf>
    <xf numFmtId="4" fontId="3" fillId="0" borderId="37" xfId="0" applyNumberFormat="1" applyFont="1" applyBorder="1" applyAlignment="1">
      <alignment vertical="center"/>
    </xf>
    <xf numFmtId="4" fontId="3" fillId="2" borderId="42" xfId="0" applyNumberFormat="1" applyFont="1" applyFill="1" applyBorder="1" applyAlignment="1">
      <alignment vertical="center"/>
    </xf>
    <xf numFmtId="4" fontId="3" fillId="2" borderId="44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9" fontId="1" fillId="0" borderId="36" xfId="0" applyNumberFormat="1" applyFont="1" applyBorder="1" applyAlignment="1">
      <alignment horizontal="center" vertical="center"/>
    </xf>
    <xf numFmtId="164" fontId="14" fillId="3" borderId="36" xfId="0" applyNumberFormat="1" applyFont="1" applyFill="1" applyBorder="1" applyAlignment="1">
      <alignment horizontal="center" vertical="center"/>
    </xf>
    <xf numFmtId="4" fontId="13" fillId="3" borderId="37" xfId="0" applyNumberFormat="1" applyFont="1" applyFill="1" applyBorder="1" applyAlignment="1">
      <alignment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4" fontId="3" fillId="2" borderId="37" xfId="0" applyNumberFormat="1" applyFont="1" applyFill="1" applyBorder="1" applyAlignment="1">
      <alignment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9" fontId="9" fillId="0" borderId="36" xfId="0" applyNumberFormat="1" applyFont="1" applyBorder="1" applyAlignment="1">
      <alignment horizontal="center" vertical="center"/>
    </xf>
    <xf numFmtId="9" fontId="9" fillId="0" borderId="49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0" xfId="0" applyNumberFormat="1" applyFont="1" applyBorder="1" applyAlignment="1">
      <alignment vertical="center"/>
    </xf>
    <xf numFmtId="4" fontId="1" fillId="0" borderId="52" xfId="0" applyNumberFormat="1" applyFont="1" applyBorder="1" applyAlignment="1">
      <alignment vertical="center"/>
    </xf>
    <xf numFmtId="4" fontId="1" fillId="0" borderId="54" xfId="0" applyNumberFormat="1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0" fontId="1" fillId="2" borderId="49" xfId="0" applyFont="1" applyFill="1" applyBorder="1" applyAlignment="1">
      <alignment horizontal="center" vertical="center"/>
    </xf>
    <xf numFmtId="4" fontId="3" fillId="2" borderId="50" xfId="0" applyNumberFormat="1" applyFont="1" applyFill="1" applyBorder="1" applyAlignment="1">
      <alignment vertical="center"/>
    </xf>
    <xf numFmtId="0" fontId="1" fillId="0" borderId="55" xfId="0" applyFont="1" applyBorder="1" applyAlignment="1">
      <alignment horizontal="center" vertical="center"/>
    </xf>
    <xf numFmtId="4" fontId="3" fillId="0" borderId="56" xfId="0" applyNumberFormat="1" applyFont="1" applyBorder="1" applyAlignment="1">
      <alignment vertical="center"/>
    </xf>
    <xf numFmtId="0" fontId="1" fillId="0" borderId="57" xfId="0" applyFont="1" applyBorder="1" applyAlignment="1">
      <alignment horizontal="center" vertical="center"/>
    </xf>
    <xf numFmtId="4" fontId="3" fillId="0" borderId="58" xfId="0" applyNumberFormat="1" applyFont="1" applyBorder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6" xfId="0" applyNumberFormat="1" applyFont="1" applyBorder="1" applyAlignment="1">
      <alignment vertical="center"/>
    </xf>
    <xf numFmtId="4" fontId="1" fillId="0" borderId="58" xfId="0" applyNumberFormat="1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4" fontId="1" fillId="0" borderId="62" xfId="0" applyNumberFormat="1" applyFont="1" applyBorder="1" applyAlignment="1">
      <alignment vertical="center"/>
    </xf>
    <xf numFmtId="0" fontId="1" fillId="0" borderId="63" xfId="0" applyFont="1" applyBorder="1" applyAlignment="1">
      <alignment horizontal="center" vertical="center"/>
    </xf>
    <xf numFmtId="4" fontId="1" fillId="0" borderId="60" xfId="0" applyNumberFormat="1" applyFont="1" applyBorder="1" applyAlignment="1">
      <alignment vertical="center"/>
    </xf>
    <xf numFmtId="0" fontId="9" fillId="0" borderId="5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5" xfId="0" applyNumberFormat="1" applyFont="1" applyBorder="1" applyAlignment="1">
      <alignment horizontal="center" vertical="center"/>
    </xf>
    <xf numFmtId="9" fontId="1" fillId="0" borderId="57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1" xfId="0" applyNumberFormat="1" applyFont="1" applyBorder="1" applyAlignment="1">
      <alignment horizontal="center" vertical="center"/>
    </xf>
    <xf numFmtId="4" fontId="3" fillId="0" borderId="62" xfId="0" applyNumberFormat="1" applyFont="1" applyBorder="1" applyAlignment="1">
      <alignment vertical="center"/>
    </xf>
    <xf numFmtId="9" fontId="1" fillId="0" borderId="63" xfId="0" applyNumberFormat="1" applyFont="1" applyBorder="1" applyAlignment="1">
      <alignment horizontal="center" vertical="center"/>
    </xf>
    <xf numFmtId="4" fontId="3" fillId="0" borderId="60" xfId="0" applyNumberFormat="1" applyFont="1" applyBorder="1" applyAlignment="1">
      <alignment vertical="center"/>
    </xf>
    <xf numFmtId="4" fontId="1" fillId="0" borderId="64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0" fontId="6" fillId="0" borderId="67" xfId="0" applyFont="1" applyBorder="1" applyAlignment="1">
      <alignment horizontal="center" vertical="center"/>
    </xf>
    <xf numFmtId="9" fontId="3" fillId="0" borderId="69" xfId="0" applyNumberFormat="1" applyFont="1" applyBorder="1" applyAlignment="1">
      <alignment horizontal="center" vertical="center"/>
    </xf>
    <xf numFmtId="9" fontId="1" fillId="0" borderId="70" xfId="0" applyNumberFormat="1" applyFont="1" applyBorder="1" applyAlignment="1">
      <alignment horizontal="center" vertical="center"/>
    </xf>
    <xf numFmtId="9" fontId="3" fillId="0" borderId="71" xfId="0" applyNumberFormat="1" applyFont="1" applyBorder="1" applyAlignment="1">
      <alignment horizontal="center" vertical="center"/>
    </xf>
    <xf numFmtId="10" fontId="3" fillId="0" borderId="68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10" fontId="1" fillId="0" borderId="68" xfId="0" applyNumberFormat="1" applyFont="1" applyBorder="1" applyAlignment="1">
      <alignment horizontal="center" vertical="center"/>
    </xf>
    <xf numFmtId="10" fontId="1" fillId="0" borderId="66" xfId="0" applyNumberFormat="1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13" fillId="3" borderId="75" xfId="0" applyFont="1" applyFill="1" applyBorder="1" applyAlignment="1">
      <alignment horizontal="center" vertical="center"/>
    </xf>
    <xf numFmtId="9" fontId="1" fillId="0" borderId="47" xfId="0" applyNumberFormat="1" applyFont="1" applyBorder="1" applyAlignment="1">
      <alignment horizontal="center" vertical="center"/>
    </xf>
    <xf numFmtId="4" fontId="3" fillId="0" borderId="48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" fillId="0" borderId="76" xfId="0" applyFont="1" applyBorder="1" applyAlignment="1">
      <alignment vertical="center"/>
    </xf>
    <xf numFmtId="10" fontId="1" fillId="0" borderId="70" xfId="0" applyNumberFormat="1" applyFont="1" applyBorder="1" applyAlignment="1">
      <alignment horizontal="center" vertical="center"/>
    </xf>
    <xf numFmtId="0" fontId="6" fillId="0" borderId="77" xfId="0" applyFont="1" applyBorder="1" applyAlignment="1">
      <alignment vertical="center"/>
    </xf>
    <xf numFmtId="0" fontId="1" fillId="0" borderId="77" xfId="0" applyFont="1" applyBorder="1" applyAlignment="1">
      <alignment vertical="center"/>
    </xf>
    <xf numFmtId="10" fontId="1" fillId="0" borderId="78" xfId="0" applyNumberFormat="1" applyFont="1" applyBorder="1" applyAlignment="1">
      <alignment horizontal="center" vertical="center"/>
    </xf>
    <xf numFmtId="10" fontId="1" fillId="0" borderId="79" xfId="0" applyNumberFormat="1" applyFont="1" applyBorder="1" applyAlignment="1">
      <alignment horizontal="center" vertical="center"/>
    </xf>
    <xf numFmtId="4" fontId="1" fillId="0" borderId="80" xfId="0" applyNumberFormat="1" applyFont="1" applyBorder="1" applyAlignment="1">
      <alignment vertical="center"/>
    </xf>
    <xf numFmtId="10" fontId="1" fillId="0" borderId="81" xfId="0" applyNumberFormat="1" applyFont="1" applyBorder="1" applyAlignment="1">
      <alignment horizontal="center" vertical="center"/>
    </xf>
    <xf numFmtId="4" fontId="1" fillId="0" borderId="82" xfId="0" applyNumberFormat="1" applyFont="1" applyBorder="1" applyAlignment="1">
      <alignment vertical="center"/>
    </xf>
    <xf numFmtId="9" fontId="3" fillId="0" borderId="0" xfId="0" applyNumberFormat="1" applyFont="1" applyAlignment="1">
      <alignment horizontal="center" vertical="center"/>
    </xf>
    <xf numFmtId="9" fontId="1" fillId="0" borderId="40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66" xfId="0" applyFont="1" applyFill="1" applyBorder="1" applyAlignment="1">
      <alignment horizontal="center" vertical="center"/>
    </xf>
    <xf numFmtId="9" fontId="1" fillId="4" borderId="70" xfId="0" applyNumberFormat="1" applyFont="1" applyFill="1" applyBorder="1" applyAlignment="1" applyProtection="1">
      <alignment horizontal="center" vertical="center"/>
      <protection locked="0"/>
    </xf>
    <xf numFmtId="0" fontId="1" fillId="4" borderId="68" xfId="0" applyFont="1" applyFill="1" applyBorder="1" applyAlignment="1" applyProtection="1">
      <alignment horizontal="center" vertical="center"/>
      <protection locked="0"/>
    </xf>
    <xf numFmtId="0" fontId="1" fillId="4" borderId="71" xfId="0" applyFont="1" applyFill="1" applyBorder="1" applyAlignment="1" applyProtection="1">
      <alignment horizontal="center" vertical="center"/>
      <protection locked="0"/>
    </xf>
    <xf numFmtId="9" fontId="1" fillId="4" borderId="66" xfId="0" applyNumberFormat="1" applyFont="1" applyFill="1" applyBorder="1" applyAlignment="1" applyProtection="1">
      <alignment horizontal="center" vertical="center"/>
      <protection locked="0"/>
    </xf>
    <xf numFmtId="9" fontId="1" fillId="4" borderId="68" xfId="0" applyNumberFormat="1" applyFont="1" applyFill="1" applyBorder="1" applyAlignment="1" applyProtection="1">
      <alignment horizontal="center" vertical="center"/>
      <protection locked="0"/>
    </xf>
    <xf numFmtId="9" fontId="1" fillId="4" borderId="7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7" xfId="0" applyNumberFormat="1" applyFont="1" applyBorder="1" applyAlignment="1">
      <alignment horizontal="center" vertical="center"/>
    </xf>
    <xf numFmtId="10" fontId="16" fillId="0" borderId="0" xfId="0" applyNumberFormat="1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7" fillId="0" borderId="0" xfId="0" applyFont="1"/>
    <xf numFmtId="0" fontId="18" fillId="3" borderId="0" xfId="0" applyFont="1" applyFill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2" borderId="43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6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3" fillId="3" borderId="83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323322" y="859971"/>
          <a:ext cx="1715033" cy="147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A1</a:t>
          </a:r>
        </a:p>
      </xdr:txBody>
    </xdr:sp>
    <xdr:clientData/>
  </xdr:twoCellAnchor>
  <xdr:twoCellAnchor>
    <xdr:from>
      <xdr:col>8</xdr:col>
      <xdr:colOff>530680</xdr:colOff>
      <xdr:row>2</xdr:row>
      <xdr:rowOff>462642</xdr:rowOff>
    </xdr:from>
    <xdr:to>
      <xdr:col>10</xdr:col>
      <xdr:colOff>762001</xdr:colOff>
      <xdr:row>2</xdr:row>
      <xdr:rowOff>1061356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198430" y="1469571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328925" y="858371"/>
          <a:ext cx="1714232" cy="148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A2</a:t>
          </a:r>
        </a:p>
      </xdr:txBody>
    </xdr:sp>
    <xdr:clientData/>
  </xdr:twoCellAnchor>
  <xdr:twoCellAnchor>
    <xdr:from>
      <xdr:col>8</xdr:col>
      <xdr:colOff>653143</xdr:colOff>
      <xdr:row>2</xdr:row>
      <xdr:rowOff>449035</xdr:rowOff>
    </xdr:from>
    <xdr:to>
      <xdr:col>11</xdr:col>
      <xdr:colOff>-1</xdr:colOff>
      <xdr:row>2</xdr:row>
      <xdr:rowOff>1047749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320893" y="1449160"/>
          <a:ext cx="1509031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7</xdr:col>
      <xdr:colOff>217712</xdr:colOff>
      <xdr:row>1</xdr:row>
      <xdr:rowOff>193221</xdr:rowOff>
    </xdr:from>
    <xdr:to>
      <xdr:col>11</xdr:col>
      <xdr:colOff>95250</xdr:colOff>
      <xdr:row>4</xdr:row>
      <xdr:rowOff>11206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523512" y="898071"/>
          <a:ext cx="2401663" cy="13134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400" spc="-25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B/B1</a:t>
          </a:r>
        </a:p>
      </xdr:txBody>
    </xdr:sp>
    <xdr:clientData/>
  </xdr:twoCellAnchor>
  <xdr:twoCellAnchor>
    <xdr:from>
      <xdr:col>8</xdr:col>
      <xdr:colOff>612323</xdr:colOff>
      <xdr:row>2</xdr:row>
      <xdr:rowOff>449035</xdr:rowOff>
    </xdr:from>
    <xdr:to>
      <xdr:col>10</xdr:col>
      <xdr:colOff>843644</xdr:colOff>
      <xdr:row>2</xdr:row>
      <xdr:rowOff>1047749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280073" y="1449160"/>
          <a:ext cx="1507671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B2</a:t>
          </a:r>
        </a:p>
      </xdr:txBody>
    </xdr:sp>
    <xdr:clientData/>
  </xdr:twoCellAnchor>
  <xdr:twoCellAnchor>
    <xdr:from>
      <xdr:col>8</xdr:col>
      <xdr:colOff>661146</xdr:colOff>
      <xdr:row>2</xdr:row>
      <xdr:rowOff>459441</xdr:rowOff>
    </xdr:from>
    <xdr:to>
      <xdr:col>11</xdr:col>
      <xdr:colOff>7203</xdr:colOff>
      <xdr:row>2</xdr:row>
      <xdr:rowOff>1065359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328896" y="1459566"/>
          <a:ext cx="1508232" cy="605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60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</a:t>
          </a:r>
        </a:p>
      </xdr:txBody>
    </xdr:sp>
    <xdr:clientData/>
  </xdr:twoCellAnchor>
  <xdr:twoCellAnchor>
    <xdr:from>
      <xdr:col>8</xdr:col>
      <xdr:colOff>544287</xdr:colOff>
      <xdr:row>2</xdr:row>
      <xdr:rowOff>503464</xdr:rowOff>
    </xdr:from>
    <xdr:to>
      <xdr:col>10</xdr:col>
      <xdr:colOff>775608</xdr:colOff>
      <xdr:row>3</xdr:row>
      <xdr:rowOff>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212037" y="1503589"/>
          <a:ext cx="1507671" cy="601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Q89"/>
  <sheetViews>
    <sheetView showGridLines="0" view="pageBreakPreview" topLeftCell="A15" zoomScale="85" zoomScaleNormal="70" zoomScaleSheetLayoutView="85" zoomScalePageLayoutView="70" workbookViewId="0">
      <selection activeCell="F29" sqref="F29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1" customWidth="1"/>
    <col min="8" max="8" width="5.42578125" style="31" customWidth="1"/>
    <col min="9" max="9" width="13.7109375" style="1" customWidth="1"/>
    <col min="10" max="10" width="5.42578125" style="31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3" ht="55.5" customHeight="1" thickBot="1" x14ac:dyDescent="0.25">
      <c r="B1" s="1" t="s">
        <v>0</v>
      </c>
    </row>
    <row r="2" spans="2:13" ht="23.25" customHeight="1" thickBot="1" x14ac:dyDescent="0.3">
      <c r="B2" s="11" t="s">
        <v>60</v>
      </c>
      <c r="C2" s="12"/>
      <c r="D2" s="13"/>
      <c r="E2" s="13"/>
      <c r="F2" s="13"/>
      <c r="G2" s="32"/>
      <c r="H2" s="32"/>
      <c r="I2" s="13"/>
      <c r="J2" s="32"/>
      <c r="K2" s="14"/>
    </row>
    <row r="3" spans="2:13" ht="87" customHeight="1" x14ac:dyDescent="0.2">
      <c r="B3" s="222" t="s">
        <v>98</v>
      </c>
      <c r="C3" s="223"/>
      <c r="D3" s="223"/>
      <c r="E3" s="69" t="s">
        <v>124</v>
      </c>
      <c r="F3" s="224" t="s">
        <v>135</v>
      </c>
      <c r="G3" s="225"/>
      <c r="H3" s="225"/>
      <c r="I3" s="225"/>
      <c r="J3" s="225"/>
      <c r="K3" s="226"/>
    </row>
    <row r="4" spans="2:13" ht="7.5" customHeight="1" thickBot="1" x14ac:dyDescent="0.25">
      <c r="B4" s="65"/>
      <c r="C4" s="66"/>
      <c r="D4" s="66"/>
      <c r="E4" s="67"/>
      <c r="F4" s="67"/>
      <c r="G4" s="67"/>
      <c r="H4" s="67"/>
      <c r="I4" s="67"/>
      <c r="J4" s="67"/>
      <c r="K4" s="68"/>
    </row>
    <row r="5" spans="2:13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230" t="s">
        <v>136</v>
      </c>
      <c r="I5" s="231"/>
      <c r="J5" s="228" t="s">
        <v>137</v>
      </c>
      <c r="K5" s="229"/>
    </row>
    <row r="6" spans="2:13" s="2" customFormat="1" ht="15" customHeight="1" x14ac:dyDescent="0.25">
      <c r="B6" s="3"/>
      <c r="F6" s="160" t="s">
        <v>64</v>
      </c>
      <c r="G6" s="192" t="s">
        <v>100</v>
      </c>
      <c r="H6" s="84"/>
      <c r="I6" s="64" t="s">
        <v>66</v>
      </c>
      <c r="J6" s="33"/>
      <c r="K6" s="85" t="s">
        <v>65</v>
      </c>
    </row>
    <row r="7" spans="2:13" s="2" customFormat="1" ht="15" x14ac:dyDescent="0.25">
      <c r="B7" s="55" t="s">
        <v>40</v>
      </c>
      <c r="C7" s="4">
        <v>1</v>
      </c>
      <c r="D7" s="2" t="s">
        <v>52</v>
      </c>
      <c r="F7" s="161"/>
      <c r="G7" s="193"/>
      <c r="H7" s="86" t="s">
        <v>94</v>
      </c>
      <c r="I7" s="18">
        <v>4488</v>
      </c>
      <c r="J7" s="34" t="s">
        <v>94</v>
      </c>
      <c r="K7" s="146">
        <v>5425</v>
      </c>
      <c r="M7" s="146"/>
    </row>
    <row r="8" spans="2:13" s="2" customFormat="1" ht="15" x14ac:dyDescent="0.25">
      <c r="B8" s="55" t="s">
        <v>0</v>
      </c>
      <c r="C8" s="4">
        <v>2</v>
      </c>
      <c r="D8" s="168" t="s">
        <v>53</v>
      </c>
      <c r="E8" s="168"/>
      <c r="F8" s="186">
        <v>0.3</v>
      </c>
      <c r="G8" s="194" t="s">
        <v>101</v>
      </c>
      <c r="H8" s="138" t="s">
        <v>94</v>
      </c>
      <c r="I8" s="123">
        <f>ROUND(I7*(1+F8),2)</f>
        <v>5834.4</v>
      </c>
      <c r="J8" s="139" t="s">
        <v>94</v>
      </c>
      <c r="K8" s="125">
        <f>ROUND(K7*(1+F8),2)</f>
        <v>7052.5</v>
      </c>
    </row>
    <row r="9" spans="2:13" s="2" customFormat="1" x14ac:dyDescent="0.25">
      <c r="B9" s="169"/>
      <c r="C9" s="36">
        <v>3</v>
      </c>
      <c r="D9" s="16" t="s">
        <v>5</v>
      </c>
      <c r="E9" s="16"/>
      <c r="F9" s="161">
        <v>4.33</v>
      </c>
      <c r="G9" s="195" t="s">
        <v>67</v>
      </c>
      <c r="H9" s="86" t="s">
        <v>94</v>
      </c>
      <c r="I9" s="18">
        <f>ROUND(I8/F9,2)</f>
        <v>1347.44</v>
      </c>
      <c r="J9" s="34" t="s">
        <v>94</v>
      </c>
      <c r="K9" s="146">
        <f>ROUND(K8/F9,2)</f>
        <v>1628.75</v>
      </c>
    </row>
    <row r="10" spans="2:13" s="2" customFormat="1" x14ac:dyDescent="0.25">
      <c r="B10" s="3" t="s">
        <v>0</v>
      </c>
      <c r="C10" s="4">
        <v>4</v>
      </c>
      <c r="D10" s="26" t="s">
        <v>96</v>
      </c>
      <c r="E10" s="26"/>
      <c r="F10" s="158">
        <v>40</v>
      </c>
      <c r="G10" s="196" t="s">
        <v>68</v>
      </c>
      <c r="H10" s="90" t="s">
        <v>94</v>
      </c>
      <c r="I10" s="72">
        <f>ROUND(I9/F10,2)</f>
        <v>33.69</v>
      </c>
      <c r="J10" s="71" t="s">
        <v>94</v>
      </c>
      <c r="K10" s="91">
        <f>ROUND(K9/F10,2)</f>
        <v>40.72</v>
      </c>
    </row>
    <row r="11" spans="2:13" s="2" customFormat="1" x14ac:dyDescent="0.25">
      <c r="B11" s="3" t="s">
        <v>0</v>
      </c>
      <c r="C11" s="4">
        <v>5</v>
      </c>
      <c r="D11" s="26"/>
      <c r="E11" s="26"/>
      <c r="F11" s="158"/>
      <c r="G11" s="196"/>
      <c r="H11" s="90"/>
      <c r="I11" s="72"/>
      <c r="J11" s="71"/>
      <c r="K11" s="91"/>
    </row>
    <row r="12" spans="2:13" s="2" customFormat="1" x14ac:dyDescent="0.25">
      <c r="B12" s="3" t="s">
        <v>0</v>
      </c>
      <c r="C12" s="4">
        <v>6</v>
      </c>
      <c r="D12" s="26" t="s">
        <v>1</v>
      </c>
      <c r="E12" s="26"/>
      <c r="F12" s="162">
        <v>0.21829999999999999</v>
      </c>
      <c r="G12" s="197" t="s">
        <v>69</v>
      </c>
      <c r="H12" s="90" t="s">
        <v>94</v>
      </c>
      <c r="I12" s="72">
        <f>ROUND($I$8*F12,2)</f>
        <v>1273.6500000000001</v>
      </c>
      <c r="J12" s="71" t="s">
        <v>94</v>
      </c>
      <c r="K12" s="91">
        <f>ROUND($K$8*F12,2)</f>
        <v>1539.56</v>
      </c>
    </row>
    <row r="13" spans="2:13" s="2" customFormat="1" x14ac:dyDescent="0.25">
      <c r="B13" s="3" t="s">
        <v>0</v>
      </c>
      <c r="C13" s="4">
        <v>7</v>
      </c>
      <c r="D13" s="26" t="s">
        <v>2</v>
      </c>
      <c r="E13" s="26"/>
      <c r="F13" s="162">
        <v>4.4999999999999998E-2</v>
      </c>
      <c r="G13" s="197" t="s">
        <v>70</v>
      </c>
      <c r="H13" s="90" t="s">
        <v>94</v>
      </c>
      <c r="I13" s="72">
        <f>ROUND($I$8*F13,2)</f>
        <v>262.55</v>
      </c>
      <c r="J13" s="71" t="s">
        <v>94</v>
      </c>
      <c r="K13" s="91">
        <f>ROUND($K$8*F13,2)</f>
        <v>317.36</v>
      </c>
    </row>
    <row r="14" spans="2:13" s="2" customFormat="1" x14ac:dyDescent="0.25">
      <c r="B14" s="3"/>
      <c r="C14" s="4">
        <v>8</v>
      </c>
      <c r="D14" s="26" t="s">
        <v>3</v>
      </c>
      <c r="E14" s="26"/>
      <c r="F14" s="162">
        <v>0.03</v>
      </c>
      <c r="G14" s="197" t="s">
        <v>71</v>
      </c>
      <c r="H14" s="90" t="s">
        <v>94</v>
      </c>
      <c r="I14" s="72">
        <f>ROUND($I$8*F14,2)</f>
        <v>175.03</v>
      </c>
      <c r="J14" s="71" t="s">
        <v>94</v>
      </c>
      <c r="K14" s="91">
        <f>ROUND($K$8*F14,2)</f>
        <v>211.58</v>
      </c>
    </row>
    <row r="15" spans="2:13" s="2" customFormat="1" x14ac:dyDescent="0.25">
      <c r="B15" s="3"/>
      <c r="C15" s="4">
        <v>9</v>
      </c>
      <c r="D15" s="26" t="s">
        <v>4</v>
      </c>
      <c r="E15" s="26"/>
      <c r="F15" s="162">
        <v>1.5299999999999999E-2</v>
      </c>
      <c r="G15" s="197" t="s">
        <v>72</v>
      </c>
      <c r="H15" s="90" t="s">
        <v>94</v>
      </c>
      <c r="I15" s="72">
        <f>ROUND($I$8*F15,2)</f>
        <v>89.27</v>
      </c>
      <c r="J15" s="71" t="s">
        <v>94</v>
      </c>
      <c r="K15" s="91">
        <f>ROUND($K$8*F15,2)</f>
        <v>107.9</v>
      </c>
    </row>
    <row r="16" spans="2:13" s="2" customFormat="1" x14ac:dyDescent="0.25">
      <c r="B16" s="3"/>
      <c r="C16" s="4">
        <v>10</v>
      </c>
      <c r="D16" s="29" t="s">
        <v>90</v>
      </c>
      <c r="E16" s="29"/>
      <c r="F16" s="170">
        <f>SUM(F12:F15)</f>
        <v>0.30859999999999999</v>
      </c>
      <c r="G16" s="198" t="s">
        <v>73</v>
      </c>
      <c r="H16" s="122" t="s">
        <v>94</v>
      </c>
      <c r="I16" s="129">
        <f>ROUND($I$8*F16,2)</f>
        <v>1800.5</v>
      </c>
      <c r="J16" s="124" t="s">
        <v>94</v>
      </c>
      <c r="K16" s="130">
        <f>ROUND($K$8*F16,2)</f>
        <v>2176.4</v>
      </c>
    </row>
    <row r="17" spans="2:11" s="2" customFormat="1" x14ac:dyDescent="0.25">
      <c r="B17" s="169" t="s">
        <v>54</v>
      </c>
      <c r="C17" s="16"/>
      <c r="D17" s="171" t="s">
        <v>92</v>
      </c>
      <c r="E17" s="172"/>
      <c r="F17" s="173"/>
      <c r="G17" s="199"/>
      <c r="H17" s="174"/>
      <c r="I17" s="175"/>
      <c r="J17" s="176"/>
      <c r="K17" s="177"/>
    </row>
    <row r="18" spans="2:11" s="2" customFormat="1" x14ac:dyDescent="0.25">
      <c r="B18" s="21" t="s">
        <v>55</v>
      </c>
      <c r="C18" s="4">
        <v>11</v>
      </c>
      <c r="D18" s="26" t="s">
        <v>90</v>
      </c>
      <c r="E18" s="26"/>
      <c r="F18" s="162">
        <f>F16-0.94%</f>
        <v>0.29920000000000002</v>
      </c>
      <c r="G18" s="197" t="s">
        <v>74</v>
      </c>
      <c r="H18" s="90" t="s">
        <v>94</v>
      </c>
      <c r="I18" s="72">
        <f>ROUND($I$8*F18,2)</f>
        <v>1745.65</v>
      </c>
      <c r="J18" s="71" t="s">
        <v>94</v>
      </c>
      <c r="K18" s="91">
        <f>ROUND($K$8*F18,2)</f>
        <v>2110.11</v>
      </c>
    </row>
    <row r="19" spans="2:11" s="2" customFormat="1" ht="6" customHeight="1" x14ac:dyDescent="0.25">
      <c r="B19" s="3"/>
      <c r="F19" s="163"/>
      <c r="G19" s="200"/>
      <c r="H19" s="89"/>
      <c r="I19" s="17"/>
      <c r="J19" s="37"/>
      <c r="K19" s="87"/>
    </row>
    <row r="20" spans="2:11" s="2" customFormat="1" ht="15.75" thickBot="1" x14ac:dyDescent="0.3">
      <c r="B20" s="45" t="s">
        <v>0</v>
      </c>
      <c r="C20" s="46">
        <v>12</v>
      </c>
      <c r="D20" s="47" t="s">
        <v>56</v>
      </c>
      <c r="E20" s="6"/>
      <c r="F20" s="164"/>
      <c r="G20" s="201" t="s">
        <v>75</v>
      </c>
      <c r="H20" s="118" t="s">
        <v>94</v>
      </c>
      <c r="I20" s="49">
        <f>ROUND((I8+I18)*2,2)</f>
        <v>15160.1</v>
      </c>
      <c r="J20" s="48" t="s">
        <v>94</v>
      </c>
      <c r="K20" s="119">
        <f>ROUND((K8+K18)*2,2)</f>
        <v>18325.22</v>
      </c>
    </row>
    <row r="21" spans="2:11" s="2" customFormat="1" ht="12.75" customHeight="1" thickBot="1" x14ac:dyDescent="0.3">
      <c r="B21" s="3"/>
      <c r="D21" s="43"/>
      <c r="E21" s="43"/>
      <c r="F21" s="44"/>
      <c r="G21" s="202"/>
      <c r="H21" s="88"/>
      <c r="I21" s="54"/>
      <c r="J21" s="4"/>
      <c r="K21" s="147"/>
    </row>
    <row r="22" spans="2:11" s="2" customFormat="1" ht="18" customHeight="1" x14ac:dyDescent="0.25">
      <c r="B22" s="58" t="s">
        <v>6</v>
      </c>
      <c r="C22" s="59">
        <v>13</v>
      </c>
      <c r="D22" s="60" t="s">
        <v>97</v>
      </c>
      <c r="E22" s="61"/>
      <c r="F22" s="157"/>
      <c r="G22" s="203" t="s">
        <v>104</v>
      </c>
      <c r="H22" s="120"/>
      <c r="I22" s="63">
        <f>ROUND(((I8+I16)*12+I20)/12,2)</f>
        <v>8898.24</v>
      </c>
      <c r="J22" s="62"/>
      <c r="K22" s="121">
        <f>ROUND(((K8+K16)*12+K20)/12,2)</f>
        <v>10756</v>
      </c>
    </row>
    <row r="23" spans="2:11" s="2" customFormat="1" ht="6" customHeight="1" x14ac:dyDescent="0.25">
      <c r="B23" s="3"/>
      <c r="C23" s="4"/>
      <c r="F23" s="155"/>
      <c r="G23" s="192"/>
      <c r="H23" s="88"/>
      <c r="I23" s="17"/>
      <c r="J23" s="35"/>
      <c r="K23" s="87"/>
    </row>
    <row r="24" spans="2:11" s="2" customFormat="1" x14ac:dyDescent="0.25">
      <c r="B24" s="3" t="s">
        <v>8</v>
      </c>
      <c r="C24" s="4">
        <v>14</v>
      </c>
      <c r="D24" s="2" t="s">
        <v>9</v>
      </c>
      <c r="F24" s="155">
        <v>365</v>
      </c>
      <c r="G24" s="192"/>
      <c r="H24" s="88"/>
      <c r="I24" s="17">
        <v>365</v>
      </c>
      <c r="J24" s="35"/>
      <c r="K24" s="87">
        <v>365</v>
      </c>
    </row>
    <row r="25" spans="2:11" s="2" customFormat="1" x14ac:dyDescent="0.25">
      <c r="B25" s="3"/>
      <c r="C25" s="4">
        <v>15</v>
      </c>
      <c r="D25" s="26" t="s">
        <v>10</v>
      </c>
      <c r="E25" s="26"/>
      <c r="F25" s="158">
        <v>52</v>
      </c>
      <c r="G25" s="196" t="s">
        <v>76</v>
      </c>
      <c r="H25" s="90"/>
      <c r="I25" s="72">
        <f>ROUND(F25*2,2)</f>
        <v>104</v>
      </c>
      <c r="J25" s="71"/>
      <c r="K25" s="91">
        <f>ROUND(F25*2,2)</f>
        <v>104</v>
      </c>
    </row>
    <row r="26" spans="2:11" s="2" customFormat="1" x14ac:dyDescent="0.25">
      <c r="B26" s="3"/>
      <c r="C26" s="4">
        <v>16</v>
      </c>
      <c r="D26" s="26" t="s">
        <v>134</v>
      </c>
      <c r="E26" s="26"/>
      <c r="F26" s="187">
        <v>14</v>
      </c>
      <c r="G26" s="196"/>
      <c r="H26" s="90"/>
      <c r="I26" s="72">
        <f>F26</f>
        <v>14</v>
      </c>
      <c r="J26" s="71"/>
      <c r="K26" s="91">
        <f>F26</f>
        <v>14</v>
      </c>
    </row>
    <row r="27" spans="2:11" s="2" customFormat="1" ht="15" x14ac:dyDescent="0.25">
      <c r="B27" s="3"/>
      <c r="C27" s="4">
        <v>17</v>
      </c>
      <c r="D27" s="27" t="s">
        <v>11</v>
      </c>
      <c r="E27" s="27"/>
      <c r="F27" s="159"/>
      <c r="G27" s="196" t="s">
        <v>102</v>
      </c>
      <c r="H27" s="90"/>
      <c r="I27" s="73">
        <f>ROUND(I24-I25-I26,2)</f>
        <v>247</v>
      </c>
      <c r="J27" s="71"/>
      <c r="K27" s="92">
        <f>ROUND(K24-K25-K26,2)</f>
        <v>247</v>
      </c>
    </row>
    <row r="28" spans="2:11" s="2" customFormat="1" x14ac:dyDescent="0.25">
      <c r="B28" s="3"/>
      <c r="C28" s="4">
        <v>18</v>
      </c>
      <c r="D28" s="26" t="s">
        <v>12</v>
      </c>
      <c r="E28" s="26"/>
      <c r="F28" s="187">
        <v>25</v>
      </c>
      <c r="G28" s="196"/>
      <c r="H28" s="90"/>
      <c r="I28" s="72">
        <f>F28</f>
        <v>25</v>
      </c>
      <c r="J28" s="71"/>
      <c r="K28" s="91">
        <f>F28</f>
        <v>25</v>
      </c>
    </row>
    <row r="29" spans="2:11" s="2" customFormat="1" x14ac:dyDescent="0.25">
      <c r="B29" s="3"/>
      <c r="C29" s="4" t="s">
        <v>131</v>
      </c>
      <c r="D29" s="26" t="s">
        <v>133</v>
      </c>
      <c r="E29" s="26"/>
      <c r="F29" s="158">
        <v>12.3</v>
      </c>
      <c r="G29" s="196"/>
      <c r="H29" s="90"/>
      <c r="I29" s="72">
        <f>F29</f>
        <v>12.3</v>
      </c>
      <c r="J29" s="71"/>
      <c r="K29" s="91">
        <f>F29</f>
        <v>12.3</v>
      </c>
    </row>
    <row r="30" spans="2:11" s="2" customFormat="1" x14ac:dyDescent="0.25">
      <c r="B30" s="3"/>
      <c r="C30" s="4" t="s">
        <v>130</v>
      </c>
      <c r="D30" s="26" t="s">
        <v>132</v>
      </c>
      <c r="E30" s="26"/>
      <c r="F30" s="187">
        <v>0</v>
      </c>
      <c r="G30" s="196"/>
      <c r="H30" s="90"/>
      <c r="I30" s="72">
        <f>F30</f>
        <v>0</v>
      </c>
      <c r="J30" s="71"/>
      <c r="K30" s="91">
        <f>F30</f>
        <v>0</v>
      </c>
    </row>
    <row r="31" spans="2:11" s="2" customFormat="1" ht="15" x14ac:dyDescent="0.25">
      <c r="B31" s="3"/>
      <c r="C31" s="4">
        <v>20</v>
      </c>
      <c r="D31" s="27" t="s">
        <v>13</v>
      </c>
      <c r="E31" s="27"/>
      <c r="F31" s="159"/>
      <c r="G31" s="196" t="s">
        <v>77</v>
      </c>
      <c r="H31" s="90"/>
      <c r="I31" s="73">
        <f>ROUND(I27-I28-I29-I30,2)</f>
        <v>209.7</v>
      </c>
      <c r="J31" s="71"/>
      <c r="K31" s="92">
        <f>ROUND(K27-K28-K29-K30,2)</f>
        <v>209.7</v>
      </c>
    </row>
    <row r="32" spans="2:11" s="2" customFormat="1" ht="9" customHeight="1" x14ac:dyDescent="0.25">
      <c r="B32" s="3"/>
      <c r="D32" s="29"/>
      <c r="E32" s="29"/>
      <c r="F32" s="153"/>
      <c r="G32" s="198"/>
      <c r="H32" s="122"/>
      <c r="I32" s="129"/>
      <c r="J32" s="124"/>
      <c r="K32" s="130"/>
    </row>
    <row r="33" spans="2:11" s="2" customFormat="1" x14ac:dyDescent="0.25">
      <c r="B33" s="3" t="s">
        <v>14</v>
      </c>
      <c r="C33" s="4">
        <v>21</v>
      </c>
      <c r="D33" s="30" t="s">
        <v>15</v>
      </c>
      <c r="E33" s="30"/>
      <c r="F33" s="188">
        <v>8</v>
      </c>
      <c r="G33" s="204"/>
      <c r="H33" s="131"/>
      <c r="I33" s="132">
        <f>F33</f>
        <v>8</v>
      </c>
      <c r="J33" s="133"/>
      <c r="K33" s="134">
        <f>F33</f>
        <v>8</v>
      </c>
    </row>
    <row r="34" spans="2:11" s="2" customFormat="1" x14ac:dyDescent="0.25">
      <c r="B34" s="3"/>
      <c r="C34" s="4">
        <v>22</v>
      </c>
      <c r="D34" s="26" t="s">
        <v>42</v>
      </c>
      <c r="E34" s="26"/>
      <c r="F34" s="158"/>
      <c r="G34" s="196" t="s">
        <v>78</v>
      </c>
      <c r="H34" s="90"/>
      <c r="I34" s="72">
        <f>ROUND(I31*I33,2)</f>
        <v>1677.6</v>
      </c>
      <c r="J34" s="71"/>
      <c r="K34" s="91">
        <f>ROUND(K31*K33,2)</f>
        <v>1677.6</v>
      </c>
    </row>
    <row r="35" spans="2:11" s="2" customFormat="1" ht="15.75" thickBot="1" x14ac:dyDescent="0.3">
      <c r="B35" s="3"/>
      <c r="C35" s="4">
        <v>23</v>
      </c>
      <c r="D35" s="26" t="s">
        <v>43</v>
      </c>
      <c r="E35" s="29"/>
      <c r="F35" s="153"/>
      <c r="G35" s="198" t="s">
        <v>79</v>
      </c>
      <c r="H35" s="122"/>
      <c r="I35" s="123">
        <f>ROUND(I34/12,2)</f>
        <v>139.80000000000001</v>
      </c>
      <c r="J35" s="124"/>
      <c r="K35" s="125">
        <f>ROUND(K31/K24*30.4167*8,2)</f>
        <v>139.80000000000001</v>
      </c>
    </row>
    <row r="36" spans="2:11" s="2" customFormat="1" ht="12.75" customHeight="1" thickBot="1" x14ac:dyDescent="0.3">
      <c r="B36" s="3"/>
      <c r="C36" s="4"/>
      <c r="D36" s="29"/>
      <c r="E36" s="10" t="s">
        <v>93</v>
      </c>
      <c r="F36" s="148" t="s">
        <v>62</v>
      </c>
      <c r="G36" s="205"/>
      <c r="H36" s="126"/>
      <c r="I36" s="116"/>
      <c r="J36" s="127"/>
      <c r="K36" s="117"/>
    </row>
    <row r="37" spans="2:11" s="2" customFormat="1" x14ac:dyDescent="0.25">
      <c r="B37" s="3" t="s">
        <v>16</v>
      </c>
      <c r="C37" s="4">
        <v>24</v>
      </c>
      <c r="D37" s="30" t="s">
        <v>63</v>
      </c>
      <c r="E37" s="128">
        <v>20</v>
      </c>
      <c r="F37" s="188">
        <v>20</v>
      </c>
      <c r="G37" s="197" t="s">
        <v>105</v>
      </c>
      <c r="H37" s="90"/>
      <c r="I37" s="72">
        <f>ROUND(F37*$I$33,2)</f>
        <v>160</v>
      </c>
      <c r="J37" s="71"/>
      <c r="K37" s="91">
        <f t="shared" ref="K37:K43" si="0">ROUND(F37*$K$33,2)</f>
        <v>160</v>
      </c>
    </row>
    <row r="38" spans="2:11" s="2" customFormat="1" x14ac:dyDescent="0.25">
      <c r="B38" s="15" t="s">
        <v>41</v>
      </c>
      <c r="C38" s="4">
        <v>25</v>
      </c>
      <c r="D38" s="26" t="s">
        <v>17</v>
      </c>
      <c r="E38" s="28">
        <v>2</v>
      </c>
      <c r="F38" s="187">
        <v>2</v>
      </c>
      <c r="G38" s="197" t="s">
        <v>106</v>
      </c>
      <c r="H38" s="90"/>
      <c r="I38" s="72">
        <f t="shared" ref="I38:I43" si="1">ROUND(F38*$I$33,2)</f>
        <v>16</v>
      </c>
      <c r="J38" s="71"/>
      <c r="K38" s="91">
        <f t="shared" si="0"/>
        <v>16</v>
      </c>
    </row>
    <row r="39" spans="2:11" s="2" customFormat="1" x14ac:dyDescent="0.25">
      <c r="B39" s="3"/>
      <c r="C39" s="4">
        <v>26</v>
      </c>
      <c r="D39" s="26" t="s">
        <v>18</v>
      </c>
      <c r="E39" s="28">
        <v>4</v>
      </c>
      <c r="F39" s="187">
        <v>4</v>
      </c>
      <c r="G39" s="197" t="s">
        <v>107</v>
      </c>
      <c r="H39" s="90"/>
      <c r="I39" s="72">
        <f t="shared" si="1"/>
        <v>32</v>
      </c>
      <c r="J39" s="71"/>
      <c r="K39" s="91">
        <f t="shared" si="0"/>
        <v>32</v>
      </c>
    </row>
    <row r="40" spans="2:11" s="2" customFormat="1" x14ac:dyDescent="0.25">
      <c r="B40" s="3"/>
      <c r="C40" s="4">
        <v>27</v>
      </c>
      <c r="D40" s="26" t="s">
        <v>19</v>
      </c>
      <c r="E40" s="28">
        <v>20</v>
      </c>
      <c r="F40" s="187">
        <v>20</v>
      </c>
      <c r="G40" s="197" t="s">
        <v>108</v>
      </c>
      <c r="H40" s="90"/>
      <c r="I40" s="72">
        <f t="shared" si="1"/>
        <v>160</v>
      </c>
      <c r="J40" s="71"/>
      <c r="K40" s="91">
        <f t="shared" si="0"/>
        <v>160</v>
      </c>
    </row>
    <row r="41" spans="2:11" s="2" customFormat="1" x14ac:dyDescent="0.25">
      <c r="B41" s="3"/>
      <c r="C41" s="4">
        <v>28</v>
      </c>
      <c r="D41" s="26" t="s">
        <v>112</v>
      </c>
      <c r="E41" s="28">
        <v>5</v>
      </c>
      <c r="F41" s="187">
        <v>5</v>
      </c>
      <c r="G41" s="197" t="s">
        <v>109</v>
      </c>
      <c r="H41" s="90"/>
      <c r="I41" s="72">
        <f t="shared" si="1"/>
        <v>40</v>
      </c>
      <c r="J41" s="71"/>
      <c r="K41" s="91">
        <f t="shared" si="0"/>
        <v>40</v>
      </c>
    </row>
    <row r="42" spans="2:11" s="2" customFormat="1" x14ac:dyDescent="0.25">
      <c r="B42" s="3"/>
      <c r="C42" s="4">
        <v>29</v>
      </c>
      <c r="D42" s="26" t="s">
        <v>20</v>
      </c>
      <c r="E42" s="28">
        <v>10</v>
      </c>
      <c r="F42" s="187">
        <v>10</v>
      </c>
      <c r="G42" s="197" t="s">
        <v>110</v>
      </c>
      <c r="H42" s="90"/>
      <c r="I42" s="72">
        <f t="shared" si="1"/>
        <v>80</v>
      </c>
      <c r="J42" s="71"/>
      <c r="K42" s="91">
        <f t="shared" si="0"/>
        <v>80</v>
      </c>
    </row>
    <row r="43" spans="2:11" s="2" customFormat="1" x14ac:dyDescent="0.25">
      <c r="B43" s="3"/>
      <c r="C43" s="4">
        <v>30</v>
      </c>
      <c r="D43" s="26" t="s">
        <v>24</v>
      </c>
      <c r="E43" s="28">
        <v>30</v>
      </c>
      <c r="F43" s="187">
        <v>30</v>
      </c>
      <c r="G43" s="197" t="s">
        <v>111</v>
      </c>
      <c r="H43" s="90"/>
      <c r="I43" s="72">
        <f t="shared" si="1"/>
        <v>240</v>
      </c>
      <c r="J43" s="71"/>
      <c r="K43" s="91">
        <f t="shared" si="0"/>
        <v>240</v>
      </c>
    </row>
    <row r="44" spans="2:11" s="2" customFormat="1" ht="15" x14ac:dyDescent="0.25">
      <c r="B44" s="3"/>
      <c r="C44" s="4">
        <v>31</v>
      </c>
      <c r="D44" s="26" t="s">
        <v>45</v>
      </c>
      <c r="E44" s="26"/>
      <c r="F44" s="152">
        <f>I44/I34</f>
        <v>0.434</v>
      </c>
      <c r="G44" s="197" t="s">
        <v>91</v>
      </c>
      <c r="H44" s="90"/>
      <c r="I44" s="72">
        <f>ROUND(SUM(I37:I43),2)</f>
        <v>728</v>
      </c>
      <c r="J44" s="71"/>
      <c r="K44" s="91">
        <f>ROUND(SUM(K37:K43),2)</f>
        <v>728</v>
      </c>
    </row>
    <row r="45" spans="2:11" s="2" customFormat="1" ht="15" x14ac:dyDescent="0.25">
      <c r="B45" s="3"/>
      <c r="C45" s="4">
        <v>32</v>
      </c>
      <c r="D45" s="26" t="s">
        <v>46</v>
      </c>
      <c r="E45" s="26"/>
      <c r="F45" s="152">
        <f>F44</f>
        <v>0.434</v>
      </c>
      <c r="G45" s="197" t="s">
        <v>103</v>
      </c>
      <c r="H45" s="90"/>
      <c r="I45" s="73">
        <f>ROUND(F45*I35,2)</f>
        <v>60.67</v>
      </c>
      <c r="J45" s="71"/>
      <c r="K45" s="92">
        <f>ROUND(F45*K35,2)</f>
        <v>60.67</v>
      </c>
    </row>
    <row r="46" spans="2:11" s="2" customFormat="1" x14ac:dyDescent="0.25">
      <c r="B46" s="3"/>
      <c r="D46" s="29"/>
      <c r="E46" s="29"/>
      <c r="F46" s="153"/>
      <c r="G46" s="198"/>
      <c r="H46" s="135"/>
      <c r="I46" s="129"/>
      <c r="J46" s="136"/>
      <c r="K46" s="130"/>
    </row>
    <row r="47" spans="2:11" s="2" customFormat="1" x14ac:dyDescent="0.25">
      <c r="B47" s="3" t="s">
        <v>21</v>
      </c>
      <c r="C47" s="4">
        <v>33</v>
      </c>
      <c r="D47" s="30" t="s">
        <v>22</v>
      </c>
      <c r="E47" s="30"/>
      <c r="F47" s="154"/>
      <c r="G47" s="204" t="s">
        <v>80</v>
      </c>
      <c r="H47" s="131"/>
      <c r="I47" s="132">
        <f>ROUND(I34-I44,2)</f>
        <v>949.6</v>
      </c>
      <c r="J47" s="133"/>
      <c r="K47" s="134">
        <f>ROUND(K34-K44,2)</f>
        <v>949.6</v>
      </c>
    </row>
    <row r="48" spans="2:11" s="2" customFormat="1" ht="14.25" customHeight="1" x14ac:dyDescent="0.25">
      <c r="B48" s="3" t="s">
        <v>0</v>
      </c>
      <c r="C48" s="4">
        <v>34</v>
      </c>
      <c r="D48" s="2" t="s">
        <v>44</v>
      </c>
      <c r="F48" s="155"/>
      <c r="G48" s="192" t="s">
        <v>81</v>
      </c>
      <c r="H48" s="88"/>
      <c r="I48" s="19">
        <f>ROUND(I35-I45,2)</f>
        <v>79.13</v>
      </c>
      <c r="J48" s="35"/>
      <c r="K48" s="93">
        <f>ROUND(K35-K45,2)</f>
        <v>79.13</v>
      </c>
    </row>
    <row r="49" spans="2:14" s="2" customFormat="1" ht="18.75" customHeight="1" x14ac:dyDescent="0.25">
      <c r="B49" s="181" t="s">
        <v>23</v>
      </c>
      <c r="C49" s="182">
        <v>35</v>
      </c>
      <c r="D49" s="183" t="s">
        <v>47</v>
      </c>
      <c r="E49" s="184"/>
      <c r="F49" s="185"/>
      <c r="G49" s="206" t="s">
        <v>82</v>
      </c>
      <c r="H49" s="107" t="s">
        <v>94</v>
      </c>
      <c r="I49" s="104">
        <f>ROUND(I22/I48,2)</f>
        <v>112.45</v>
      </c>
      <c r="J49" s="108" t="s">
        <v>94</v>
      </c>
      <c r="K49" s="106">
        <f>ROUND(K22/K48,2)</f>
        <v>135.93</v>
      </c>
    </row>
    <row r="50" spans="2:14" s="2" customFormat="1" ht="6" customHeight="1" x14ac:dyDescent="0.25">
      <c r="B50" s="3"/>
      <c r="F50" s="4"/>
      <c r="G50" s="38"/>
      <c r="H50" s="109"/>
      <c r="I50" s="54"/>
      <c r="J50" s="38"/>
      <c r="K50" s="87"/>
    </row>
    <row r="51" spans="2:14" s="2" customFormat="1" ht="6.75" customHeight="1" x14ac:dyDescent="0.25">
      <c r="B51" s="3"/>
      <c r="F51" s="4"/>
      <c r="G51" s="38"/>
      <c r="H51" s="109"/>
      <c r="I51" s="54"/>
      <c r="J51" s="38"/>
      <c r="K51" s="87"/>
    </row>
    <row r="52" spans="2:14" s="80" customFormat="1" ht="16.5" customHeight="1" x14ac:dyDescent="0.25">
      <c r="B52" s="75" t="s">
        <v>48</v>
      </c>
      <c r="C52" s="81"/>
      <c r="D52" s="76"/>
      <c r="E52" s="76"/>
      <c r="F52" s="82"/>
      <c r="G52" s="82"/>
      <c r="H52" s="110"/>
      <c r="I52" s="83"/>
      <c r="J52" s="82"/>
      <c r="K52" s="100"/>
    </row>
    <row r="53" spans="2:14" s="2" customFormat="1" ht="5.25" customHeight="1" x14ac:dyDescent="0.25">
      <c r="B53" s="3"/>
      <c r="F53" s="4"/>
      <c r="G53" s="38"/>
      <c r="H53" s="109"/>
      <c r="I53" s="54"/>
      <c r="J53" s="38"/>
      <c r="K53" s="87"/>
    </row>
    <row r="54" spans="2:14" s="2" customFormat="1" ht="15.75" thickBot="1" x14ac:dyDescent="0.3">
      <c r="B54" s="55" t="s">
        <v>25</v>
      </c>
      <c r="C54" s="7"/>
      <c r="D54" s="7" t="s">
        <v>0</v>
      </c>
      <c r="E54" s="6"/>
      <c r="F54" s="56"/>
      <c r="G54" s="57"/>
      <c r="H54" s="111"/>
      <c r="I54" s="97" t="s">
        <v>0</v>
      </c>
      <c r="J54" s="96"/>
      <c r="K54" s="93" t="s">
        <v>0</v>
      </c>
    </row>
    <row r="55" spans="2:14" s="2" customFormat="1" ht="15" thickBot="1" x14ac:dyDescent="0.3">
      <c r="B55" s="8" t="s">
        <v>26</v>
      </c>
      <c r="D55" s="5"/>
      <c r="E55" s="10" t="s">
        <v>93</v>
      </c>
      <c r="F55" s="148" t="s">
        <v>61</v>
      </c>
      <c r="G55" s="39"/>
      <c r="H55" s="113"/>
      <c r="I55" s="20"/>
      <c r="J55" s="114"/>
      <c r="K55" s="115"/>
    </row>
    <row r="56" spans="2:14" s="2" customFormat="1" x14ac:dyDescent="0.25">
      <c r="B56" s="3"/>
      <c r="C56" s="2">
        <v>36</v>
      </c>
      <c r="D56" s="2" t="s">
        <v>95</v>
      </c>
      <c r="E56" s="9">
        <v>7.0000000000000007E-2</v>
      </c>
      <c r="F56" s="189">
        <v>7.0000000000000007E-2</v>
      </c>
      <c r="G56" s="9"/>
      <c r="H56" s="98"/>
      <c r="I56" s="17"/>
      <c r="J56" s="41"/>
      <c r="K56" s="87"/>
      <c r="N56" s="4"/>
    </row>
    <row r="57" spans="2:14" s="2" customFormat="1" x14ac:dyDescent="0.25">
      <c r="B57" s="3"/>
      <c r="C57" s="2">
        <v>37</v>
      </c>
      <c r="D57" s="26" t="s">
        <v>32</v>
      </c>
      <c r="E57" s="22">
        <v>0.15</v>
      </c>
      <c r="F57" s="190">
        <v>0.15</v>
      </c>
      <c r="G57" s="22"/>
      <c r="H57" s="98"/>
      <c r="I57" s="17"/>
      <c r="J57" s="41"/>
      <c r="K57" s="87"/>
    </row>
    <row r="58" spans="2:14" s="2" customFormat="1" x14ac:dyDescent="0.25">
      <c r="B58" s="3"/>
      <c r="C58" s="2">
        <v>38</v>
      </c>
      <c r="D58" s="26" t="s">
        <v>27</v>
      </c>
      <c r="E58" s="22">
        <v>0.05</v>
      </c>
      <c r="F58" s="190">
        <v>0.05</v>
      </c>
      <c r="G58" s="22"/>
      <c r="H58" s="98"/>
      <c r="I58" s="17"/>
      <c r="J58" s="41"/>
      <c r="K58" s="87"/>
    </row>
    <row r="59" spans="2:14" s="2" customFormat="1" x14ac:dyDescent="0.25">
      <c r="B59" s="3"/>
      <c r="C59" s="2">
        <v>39</v>
      </c>
      <c r="D59" s="26" t="s">
        <v>28</v>
      </c>
      <c r="E59" s="22">
        <v>0.08</v>
      </c>
      <c r="F59" s="190">
        <v>0.08</v>
      </c>
      <c r="G59" s="22"/>
      <c r="H59" s="98"/>
      <c r="I59" s="17"/>
      <c r="J59" s="41"/>
      <c r="K59" s="87"/>
    </row>
    <row r="60" spans="2:14" s="2" customFormat="1" x14ac:dyDescent="0.25">
      <c r="B60" s="3"/>
      <c r="C60" s="2">
        <v>40</v>
      </c>
      <c r="D60" s="26" t="s">
        <v>29</v>
      </c>
      <c r="E60" s="22">
        <v>0.1</v>
      </c>
      <c r="F60" s="190">
        <v>0.1</v>
      </c>
      <c r="G60" s="22"/>
      <c r="H60" s="98"/>
      <c r="I60" s="17"/>
      <c r="J60" s="41"/>
      <c r="K60" s="87"/>
    </row>
    <row r="61" spans="2:14" s="2" customFormat="1" x14ac:dyDescent="0.25">
      <c r="B61" s="3"/>
      <c r="C61" s="2">
        <v>41</v>
      </c>
      <c r="D61" s="26" t="s">
        <v>57</v>
      </c>
      <c r="E61" s="22">
        <v>0.05</v>
      </c>
      <c r="F61" s="190">
        <v>0.05</v>
      </c>
      <c r="G61" s="22"/>
      <c r="H61" s="98"/>
      <c r="I61" s="17"/>
      <c r="J61" s="41"/>
      <c r="K61" s="87"/>
    </row>
    <row r="62" spans="2:14" s="2" customFormat="1" x14ac:dyDescent="0.25">
      <c r="B62" s="3"/>
      <c r="C62" s="2">
        <v>42</v>
      </c>
      <c r="D62" s="26" t="s">
        <v>30</v>
      </c>
      <c r="E62" s="22">
        <v>0.01</v>
      </c>
      <c r="F62" s="190">
        <v>0.01</v>
      </c>
      <c r="G62" s="22"/>
      <c r="H62" s="98"/>
      <c r="I62" s="17"/>
      <c r="J62" s="41"/>
      <c r="K62" s="87"/>
    </row>
    <row r="63" spans="2:14" s="2" customFormat="1" x14ac:dyDescent="0.25">
      <c r="B63" s="3"/>
      <c r="C63" s="2">
        <v>43</v>
      </c>
      <c r="D63" s="26" t="s">
        <v>33</v>
      </c>
      <c r="E63" s="22">
        <v>0.02</v>
      </c>
      <c r="F63" s="190">
        <v>0.02</v>
      </c>
      <c r="G63" s="22"/>
      <c r="H63" s="98"/>
      <c r="I63" s="17"/>
      <c r="J63" s="41"/>
      <c r="K63" s="87"/>
    </row>
    <row r="64" spans="2:14" s="2" customFormat="1" x14ac:dyDescent="0.25">
      <c r="B64" s="3"/>
      <c r="C64" s="2">
        <v>44</v>
      </c>
      <c r="D64" s="26" t="s">
        <v>34</v>
      </c>
      <c r="E64" s="22">
        <v>0.02</v>
      </c>
      <c r="F64" s="190">
        <v>0.02</v>
      </c>
      <c r="G64" s="22"/>
      <c r="H64" s="98"/>
      <c r="I64" s="17"/>
      <c r="J64" s="41"/>
      <c r="K64" s="87"/>
    </row>
    <row r="65" spans="2:17" s="2" customFormat="1" x14ac:dyDescent="0.25">
      <c r="B65" s="3"/>
      <c r="C65" s="2">
        <v>45</v>
      </c>
      <c r="D65" s="26" t="s">
        <v>35</v>
      </c>
      <c r="E65" s="22">
        <v>0.01</v>
      </c>
      <c r="F65" s="190">
        <v>0.01</v>
      </c>
      <c r="G65" s="22"/>
      <c r="H65" s="98"/>
      <c r="I65" s="17"/>
      <c r="J65" s="41"/>
      <c r="K65" s="87"/>
    </row>
    <row r="66" spans="2:17" s="2" customFormat="1" x14ac:dyDescent="0.25">
      <c r="B66" s="3"/>
      <c r="C66" s="2">
        <v>46</v>
      </c>
      <c r="D66" s="26" t="s">
        <v>31</v>
      </c>
      <c r="E66" s="22">
        <v>0.02</v>
      </c>
      <c r="F66" s="190">
        <v>0.02</v>
      </c>
      <c r="G66" s="22"/>
      <c r="H66" s="98"/>
      <c r="I66" s="17"/>
      <c r="J66" s="41"/>
      <c r="K66" s="87"/>
    </row>
    <row r="67" spans="2:17" s="2" customFormat="1" x14ac:dyDescent="0.25">
      <c r="B67" s="3"/>
      <c r="C67" s="2">
        <v>47</v>
      </c>
      <c r="D67" s="26" t="s">
        <v>36</v>
      </c>
      <c r="E67" s="22">
        <v>0.02</v>
      </c>
      <c r="F67" s="190">
        <v>0.02</v>
      </c>
      <c r="G67" s="22"/>
      <c r="H67" s="98"/>
      <c r="I67" s="17"/>
      <c r="J67" s="41"/>
      <c r="K67" s="87"/>
    </row>
    <row r="68" spans="2:17" s="2" customFormat="1" x14ac:dyDescent="0.25">
      <c r="B68" s="8" t="s">
        <v>114</v>
      </c>
      <c r="C68" s="2">
        <v>48</v>
      </c>
      <c r="D68" s="26" t="s">
        <v>115</v>
      </c>
      <c r="E68" s="22">
        <v>0.15</v>
      </c>
      <c r="F68" s="190">
        <v>0.15</v>
      </c>
      <c r="G68" s="74"/>
      <c r="H68" s="112"/>
      <c r="I68" s="17"/>
      <c r="J68" s="40"/>
      <c r="K68" s="87"/>
    </row>
    <row r="69" spans="2:17" s="2" customFormat="1" ht="15" x14ac:dyDescent="0.25">
      <c r="B69" s="3"/>
      <c r="C69" s="2">
        <v>49</v>
      </c>
      <c r="D69" s="50" t="s">
        <v>49</v>
      </c>
      <c r="E69" s="51">
        <f>SUM(E56:E68)</f>
        <v>0.75</v>
      </c>
      <c r="F69" s="149">
        <f>SUM(F56:F68)</f>
        <v>0.75</v>
      </c>
      <c r="G69" s="207" t="s">
        <v>83</v>
      </c>
      <c r="H69" s="166" t="s">
        <v>94</v>
      </c>
      <c r="I69" s="53">
        <f>ROUND(F69*I49,2)</f>
        <v>84.34</v>
      </c>
      <c r="J69" s="52"/>
      <c r="K69" s="167">
        <f>ROUND(F69*K49,2)</f>
        <v>101.95</v>
      </c>
    </row>
    <row r="70" spans="2:17" s="2" customFormat="1" ht="5.25" customHeight="1" x14ac:dyDescent="0.25">
      <c r="B70" s="3"/>
      <c r="D70" s="16"/>
      <c r="E70" s="42"/>
      <c r="F70" s="42"/>
      <c r="G70" s="208"/>
      <c r="H70" s="98"/>
      <c r="I70" s="54"/>
      <c r="J70" s="9"/>
      <c r="K70" s="87"/>
    </row>
    <row r="71" spans="2:17" s="2" customFormat="1" ht="15" x14ac:dyDescent="0.25">
      <c r="B71" s="55" t="s">
        <v>39</v>
      </c>
      <c r="C71" s="7"/>
      <c r="D71" s="7" t="s">
        <v>0</v>
      </c>
      <c r="E71" s="178"/>
      <c r="F71" s="178"/>
      <c r="G71" s="209"/>
      <c r="H71" s="98"/>
      <c r="I71" s="97" t="s">
        <v>0</v>
      </c>
      <c r="J71" s="9"/>
      <c r="K71" s="93" t="s">
        <v>0</v>
      </c>
    </row>
    <row r="72" spans="2:17" s="2" customFormat="1" x14ac:dyDescent="0.25">
      <c r="B72" s="169"/>
      <c r="C72" s="16">
        <v>50</v>
      </c>
      <c r="D72" s="16" t="s">
        <v>37</v>
      </c>
      <c r="E72" s="42">
        <v>0.05</v>
      </c>
      <c r="F72" s="191">
        <v>0.05</v>
      </c>
      <c r="G72" s="208"/>
      <c r="H72" s="179"/>
      <c r="I72" s="18"/>
      <c r="J72" s="180"/>
      <c r="K72" s="146"/>
    </row>
    <row r="73" spans="2:17" s="2" customFormat="1" x14ac:dyDescent="0.25">
      <c r="B73" s="3"/>
      <c r="C73" s="2">
        <v>51</v>
      </c>
      <c r="D73" s="26" t="s">
        <v>113</v>
      </c>
      <c r="E73" s="22">
        <v>0.05</v>
      </c>
      <c r="F73" s="190">
        <v>0.05</v>
      </c>
      <c r="G73" s="210"/>
      <c r="H73" s="98"/>
      <c r="I73" s="17"/>
      <c r="J73" s="41"/>
      <c r="K73" s="87"/>
      <c r="Q73" s="2" t="s">
        <v>0</v>
      </c>
    </row>
    <row r="74" spans="2:17" s="2" customFormat="1" x14ac:dyDescent="0.25">
      <c r="B74" s="3"/>
      <c r="C74" s="2">
        <v>52</v>
      </c>
      <c r="D74" s="26" t="s">
        <v>38</v>
      </c>
      <c r="E74" s="22">
        <v>0.04</v>
      </c>
      <c r="F74" s="190">
        <v>0.04</v>
      </c>
      <c r="G74" s="210"/>
      <c r="H74" s="98"/>
      <c r="I74" s="17"/>
      <c r="J74" s="41"/>
      <c r="K74" s="87"/>
    </row>
    <row r="75" spans="2:17" s="2" customFormat="1" ht="5.25" customHeight="1" x14ac:dyDescent="0.25">
      <c r="B75" s="3"/>
      <c r="D75" s="29"/>
      <c r="E75" s="137"/>
      <c r="F75" s="150"/>
      <c r="G75" s="194"/>
      <c r="H75" s="98"/>
      <c r="I75" s="17"/>
      <c r="J75" s="41"/>
      <c r="K75" s="87"/>
    </row>
    <row r="76" spans="2:17" s="2" customFormat="1" ht="15" x14ac:dyDescent="0.25">
      <c r="B76" s="3"/>
      <c r="C76" s="2">
        <v>53</v>
      </c>
      <c r="D76" s="140" t="s">
        <v>50</v>
      </c>
      <c r="E76" s="141">
        <f>SUM(E72:E75)</f>
        <v>0.14000000000000001</v>
      </c>
      <c r="F76" s="151">
        <f>SUM(F72:F75)</f>
        <v>0.14000000000000001</v>
      </c>
      <c r="G76" s="211" t="s">
        <v>84</v>
      </c>
      <c r="H76" s="142" t="s">
        <v>94</v>
      </c>
      <c r="I76" s="143">
        <f>ROUND(F76*I49,2)</f>
        <v>15.74</v>
      </c>
      <c r="J76" s="144"/>
      <c r="K76" s="145">
        <f>ROUND(F76*K49,2)</f>
        <v>19.03</v>
      </c>
    </row>
    <row r="77" spans="2:17" s="2" customFormat="1" ht="6.75" customHeight="1" x14ac:dyDescent="0.25">
      <c r="B77" s="3"/>
      <c r="D77" s="29"/>
      <c r="E77" s="137"/>
      <c r="F77" s="150"/>
      <c r="G77" s="194"/>
      <c r="H77" s="138"/>
      <c r="I77" s="129"/>
      <c r="J77" s="139"/>
      <c r="K77" s="130"/>
    </row>
    <row r="78" spans="2:17" s="2" customFormat="1" ht="15" x14ac:dyDescent="0.25">
      <c r="B78" s="3"/>
      <c r="C78" s="2">
        <v>54</v>
      </c>
      <c r="D78" s="140" t="s">
        <v>51</v>
      </c>
      <c r="E78" s="141">
        <f>E76+E69</f>
        <v>0.89</v>
      </c>
      <c r="F78" s="151">
        <f>F76+F69</f>
        <v>0.89</v>
      </c>
      <c r="G78" s="211" t="s">
        <v>85</v>
      </c>
      <c r="H78" s="142" t="s">
        <v>94</v>
      </c>
      <c r="I78" s="143">
        <f>ROUND(I49*F78,2)</f>
        <v>100.08</v>
      </c>
      <c r="J78" s="144"/>
      <c r="K78" s="145">
        <f>ROUND(F78*K49,2)</f>
        <v>120.98</v>
      </c>
    </row>
    <row r="79" spans="2:17" s="2" customFormat="1" ht="9" customHeight="1" x14ac:dyDescent="0.25">
      <c r="B79" s="3"/>
      <c r="F79" s="4"/>
      <c r="G79" s="192"/>
      <c r="H79" s="88"/>
      <c r="I79" s="54"/>
      <c r="J79" s="4"/>
      <c r="K79" s="87"/>
    </row>
    <row r="80" spans="2:17" s="80" customFormat="1" ht="16.5" customHeight="1" x14ac:dyDescent="0.25">
      <c r="B80" s="75" t="s">
        <v>99</v>
      </c>
      <c r="C80" s="76"/>
      <c r="D80" s="77"/>
      <c r="E80" s="76"/>
      <c r="F80" s="165"/>
      <c r="G80" s="212" t="s">
        <v>86</v>
      </c>
      <c r="H80" s="99" t="s">
        <v>94</v>
      </c>
      <c r="I80" s="78">
        <f>ROUND(I49+I78,2)</f>
        <v>212.53</v>
      </c>
      <c r="J80" s="79"/>
      <c r="K80" s="100">
        <f>ROUND(K49+K78,2)</f>
        <v>256.91000000000003</v>
      </c>
    </row>
    <row r="81" spans="2:11" s="2" customFormat="1" ht="5.25" customHeight="1" x14ac:dyDescent="0.25">
      <c r="B81" s="3"/>
      <c r="F81" s="4"/>
      <c r="G81" s="192"/>
      <c r="H81" s="88"/>
      <c r="I81" s="54"/>
      <c r="J81" s="4"/>
      <c r="K81" s="87"/>
    </row>
    <row r="82" spans="2:11" s="2" customFormat="1" ht="15" x14ac:dyDescent="0.25">
      <c r="B82" s="181" t="s">
        <v>58</v>
      </c>
      <c r="C82" s="184"/>
      <c r="D82" s="183"/>
      <c r="E82" s="184"/>
      <c r="F82" s="185"/>
      <c r="G82" s="206" t="s">
        <v>88</v>
      </c>
      <c r="H82" s="103" t="s">
        <v>94</v>
      </c>
      <c r="I82" s="104">
        <f>ROUND(I80*I48,2)</f>
        <v>16817.5</v>
      </c>
      <c r="J82" s="105"/>
      <c r="K82" s="106">
        <f>ROUND(K80*K48,2)</f>
        <v>20329.29</v>
      </c>
    </row>
    <row r="83" spans="2:11" s="2" customFormat="1" ht="5.25" customHeight="1" x14ac:dyDescent="0.25">
      <c r="B83" s="3"/>
      <c r="F83" s="4"/>
      <c r="G83" s="192"/>
      <c r="H83" s="88"/>
      <c r="I83" s="54"/>
      <c r="J83" s="4"/>
      <c r="K83" s="87"/>
    </row>
    <row r="84" spans="2:11" s="2" customFormat="1" ht="15.75" thickBot="1" x14ac:dyDescent="0.3">
      <c r="B84" s="23" t="s">
        <v>59</v>
      </c>
      <c r="C84" s="24"/>
      <c r="D84" s="25"/>
      <c r="E84" s="24"/>
      <c r="F84" s="156"/>
      <c r="G84" s="213" t="s">
        <v>87</v>
      </c>
      <c r="H84" s="101" t="s">
        <v>94</v>
      </c>
      <c r="I84" s="94">
        <f>ROUND(I80*I47,2)</f>
        <v>201818.49</v>
      </c>
      <c r="J84" s="102"/>
      <c r="K84" s="95">
        <f>ROUND(K80*K47,2)</f>
        <v>243961.74</v>
      </c>
    </row>
    <row r="86" spans="2:11" ht="3.75" customHeight="1" x14ac:dyDescent="0.2"/>
    <row r="87" spans="2:11" x14ac:dyDescent="0.2">
      <c r="B87" s="214" t="s">
        <v>138</v>
      </c>
      <c r="D87" s="214" t="s">
        <v>139</v>
      </c>
      <c r="E87" s="31" t="s">
        <v>89</v>
      </c>
      <c r="F87" s="70"/>
      <c r="G87" s="31" t="s">
        <v>125</v>
      </c>
    </row>
    <row r="88" spans="2:11" ht="3" customHeight="1" x14ac:dyDescent="0.2">
      <c r="E88" s="31"/>
    </row>
    <row r="89" spans="2:11" ht="36.75" customHeight="1" x14ac:dyDescent="0.2">
      <c r="B89" s="227" t="s">
        <v>150</v>
      </c>
      <c r="C89" s="227"/>
      <c r="D89" s="227"/>
      <c r="E89" s="227"/>
      <c r="F89" s="227"/>
      <c r="G89" s="227"/>
      <c r="H89" s="227"/>
      <c r="I89" s="227"/>
      <c r="J89" s="227"/>
      <c r="K89" s="227"/>
    </row>
  </sheetData>
  <mergeCells count="5">
    <mergeCell ref="B3:D3"/>
    <mergeCell ref="F3:K3"/>
    <mergeCell ref="B89:K89"/>
    <mergeCell ref="J5:K5"/>
    <mergeCell ref="H5:I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Q89"/>
  <sheetViews>
    <sheetView showGridLines="0" view="pageBreakPreview" zoomScaleNormal="115" zoomScaleSheetLayoutView="100" zoomScalePageLayoutView="115" workbookViewId="0">
      <selection activeCell="F29" sqref="F29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1" customWidth="1"/>
    <col min="8" max="8" width="5.42578125" style="31" customWidth="1"/>
    <col min="9" max="9" width="13.7109375" style="1" customWidth="1"/>
    <col min="10" max="10" width="5.42578125" style="31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1" t="s">
        <v>116</v>
      </c>
      <c r="C2" s="12"/>
      <c r="D2" s="13"/>
      <c r="E2" s="13"/>
      <c r="F2" s="13"/>
      <c r="G2" s="32"/>
      <c r="H2" s="32"/>
      <c r="I2" s="13"/>
      <c r="J2" s="32"/>
      <c r="K2" s="14"/>
    </row>
    <row r="3" spans="2:11" ht="87" customHeight="1" x14ac:dyDescent="0.2">
      <c r="B3" s="222" t="s">
        <v>117</v>
      </c>
      <c r="C3" s="223"/>
      <c r="D3" s="223"/>
      <c r="E3" s="69" t="s">
        <v>126</v>
      </c>
      <c r="F3" s="224" t="s">
        <v>135</v>
      </c>
      <c r="G3" s="225"/>
      <c r="H3" s="225"/>
      <c r="I3" s="225"/>
      <c r="J3" s="225"/>
      <c r="K3" s="226"/>
    </row>
    <row r="4" spans="2:11" ht="7.5" customHeight="1" thickBot="1" x14ac:dyDescent="0.25">
      <c r="B4" s="65"/>
      <c r="C4" s="66"/>
      <c r="D4" s="66"/>
      <c r="E4" s="67"/>
      <c r="F4" s="67"/>
      <c r="G4" s="67"/>
      <c r="H4" s="67"/>
      <c r="I4" s="67"/>
      <c r="J4" s="67"/>
      <c r="K4" s="68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230" t="s">
        <v>136</v>
      </c>
      <c r="I5" s="231"/>
      <c r="J5" s="228" t="s">
        <v>137</v>
      </c>
      <c r="K5" s="229"/>
    </row>
    <row r="6" spans="2:11" s="2" customFormat="1" ht="15" customHeight="1" x14ac:dyDescent="0.25">
      <c r="B6" s="3"/>
      <c r="F6" s="160" t="s">
        <v>64</v>
      </c>
      <c r="G6" s="192" t="s">
        <v>100</v>
      </c>
      <c r="H6" s="84"/>
      <c r="I6" s="64" t="s">
        <v>66</v>
      </c>
      <c r="J6" s="33"/>
      <c r="K6" s="85" t="s">
        <v>65</v>
      </c>
    </row>
    <row r="7" spans="2:11" s="2" customFormat="1" ht="15" x14ac:dyDescent="0.25">
      <c r="B7" s="55" t="s">
        <v>40</v>
      </c>
      <c r="C7" s="4">
        <v>1</v>
      </c>
      <c r="D7" s="2" t="s">
        <v>52</v>
      </c>
      <c r="F7" s="161"/>
      <c r="G7" s="195"/>
      <c r="H7" s="86" t="s">
        <v>94</v>
      </c>
      <c r="I7" s="18">
        <v>4488</v>
      </c>
      <c r="J7" s="34" t="s">
        <v>94</v>
      </c>
      <c r="K7" s="146">
        <v>5425</v>
      </c>
    </row>
    <row r="8" spans="2:11" s="2" customFormat="1" ht="15" x14ac:dyDescent="0.25">
      <c r="B8" s="55" t="s">
        <v>0</v>
      </c>
      <c r="C8" s="4">
        <v>2</v>
      </c>
      <c r="D8" s="168" t="s">
        <v>53</v>
      </c>
      <c r="E8" s="168"/>
      <c r="F8" s="186">
        <v>0.3</v>
      </c>
      <c r="G8" s="194" t="s">
        <v>101</v>
      </c>
      <c r="H8" s="138" t="s">
        <v>94</v>
      </c>
      <c r="I8" s="123">
        <f>ROUND(I7*(1+F8),2)</f>
        <v>5834.4</v>
      </c>
      <c r="J8" s="139" t="s">
        <v>94</v>
      </c>
      <c r="K8" s="125">
        <f>ROUND(K7*(1+F8),2)</f>
        <v>7052.5</v>
      </c>
    </row>
    <row r="9" spans="2:11" s="2" customFormat="1" x14ac:dyDescent="0.25">
      <c r="B9" s="169"/>
      <c r="C9" s="36">
        <v>3</v>
      </c>
      <c r="D9" s="16" t="s">
        <v>5</v>
      </c>
      <c r="E9" s="16"/>
      <c r="F9" s="161">
        <v>4.33</v>
      </c>
      <c r="G9" s="195" t="s">
        <v>67</v>
      </c>
      <c r="H9" s="86" t="s">
        <v>94</v>
      </c>
      <c r="I9" s="18">
        <f>ROUND(I8/F9,2)</f>
        <v>1347.44</v>
      </c>
      <c r="J9" s="34" t="s">
        <v>94</v>
      </c>
      <c r="K9" s="146">
        <f>ROUND(K8/F9,2)</f>
        <v>1628.75</v>
      </c>
    </row>
    <row r="10" spans="2:11" s="2" customFormat="1" x14ac:dyDescent="0.25">
      <c r="B10" s="3" t="s">
        <v>0</v>
      </c>
      <c r="C10" s="4">
        <v>4</v>
      </c>
      <c r="D10" s="26" t="s">
        <v>96</v>
      </c>
      <c r="E10" s="26"/>
      <c r="F10" s="158">
        <v>40</v>
      </c>
      <c r="G10" s="196" t="s">
        <v>68</v>
      </c>
      <c r="H10" s="90" t="s">
        <v>94</v>
      </c>
      <c r="I10" s="72">
        <f>ROUND(I9/F10,2)</f>
        <v>33.69</v>
      </c>
      <c r="J10" s="71" t="s">
        <v>94</v>
      </c>
      <c r="K10" s="91">
        <f>ROUND(K9/F10,2)</f>
        <v>40.72</v>
      </c>
    </row>
    <row r="11" spans="2:11" s="2" customFormat="1" x14ac:dyDescent="0.25">
      <c r="B11" s="3" t="s">
        <v>0</v>
      </c>
      <c r="C11" s="4">
        <v>5</v>
      </c>
      <c r="D11" s="26"/>
      <c r="E11" s="26"/>
      <c r="F11" s="158"/>
      <c r="G11" s="196"/>
      <c r="H11" s="90"/>
      <c r="I11" s="72"/>
      <c r="J11" s="71"/>
      <c r="K11" s="91"/>
    </row>
    <row r="12" spans="2:11" s="2" customFormat="1" x14ac:dyDescent="0.25">
      <c r="B12" s="3" t="s">
        <v>0</v>
      </c>
      <c r="C12" s="4">
        <v>6</v>
      </c>
      <c r="D12" s="26" t="s">
        <v>1</v>
      </c>
      <c r="E12" s="26"/>
      <c r="F12" s="162">
        <v>0.21829999999999999</v>
      </c>
      <c r="G12" s="197" t="s">
        <v>69</v>
      </c>
      <c r="H12" s="90" t="s">
        <v>94</v>
      </c>
      <c r="I12" s="72">
        <f>ROUND($I$8*F12,2)</f>
        <v>1273.6500000000001</v>
      </c>
      <c r="J12" s="71" t="s">
        <v>94</v>
      </c>
      <c r="K12" s="91">
        <f>ROUND($K$8*F12,2)</f>
        <v>1539.56</v>
      </c>
    </row>
    <row r="13" spans="2:11" s="2" customFormat="1" x14ac:dyDescent="0.25">
      <c r="B13" s="3" t="s">
        <v>0</v>
      </c>
      <c r="C13" s="4">
        <v>7</v>
      </c>
      <c r="D13" s="26" t="s">
        <v>2</v>
      </c>
      <c r="E13" s="26"/>
      <c r="F13" s="162">
        <v>4.4999999999999998E-2</v>
      </c>
      <c r="G13" s="197" t="s">
        <v>70</v>
      </c>
      <c r="H13" s="90" t="s">
        <v>94</v>
      </c>
      <c r="I13" s="72">
        <f>ROUND($I$8*F13,2)</f>
        <v>262.55</v>
      </c>
      <c r="J13" s="71" t="s">
        <v>94</v>
      </c>
      <c r="K13" s="91">
        <f>ROUND($K$8*F13,2)</f>
        <v>317.36</v>
      </c>
    </row>
    <row r="14" spans="2:11" s="2" customFormat="1" x14ac:dyDescent="0.25">
      <c r="B14" s="3"/>
      <c r="C14" s="4">
        <v>8</v>
      </c>
      <c r="D14" s="26" t="s">
        <v>3</v>
      </c>
      <c r="E14" s="26"/>
      <c r="F14" s="162">
        <v>0.03</v>
      </c>
      <c r="G14" s="197" t="s">
        <v>71</v>
      </c>
      <c r="H14" s="90" t="s">
        <v>94</v>
      </c>
      <c r="I14" s="72">
        <f>ROUND($I$8*F14,2)</f>
        <v>175.03</v>
      </c>
      <c r="J14" s="71" t="s">
        <v>94</v>
      </c>
      <c r="K14" s="91">
        <f>ROUND($K$8*F14,2)</f>
        <v>211.58</v>
      </c>
    </row>
    <row r="15" spans="2:11" s="2" customFormat="1" x14ac:dyDescent="0.25">
      <c r="B15" s="3"/>
      <c r="C15" s="4">
        <v>9</v>
      </c>
      <c r="D15" s="26" t="s">
        <v>4</v>
      </c>
      <c r="E15" s="26"/>
      <c r="F15" s="162">
        <v>1.5299999999999999E-2</v>
      </c>
      <c r="G15" s="197" t="s">
        <v>72</v>
      </c>
      <c r="H15" s="90" t="s">
        <v>94</v>
      </c>
      <c r="I15" s="72">
        <f>ROUND($I$8*F15,2)</f>
        <v>89.27</v>
      </c>
      <c r="J15" s="71" t="s">
        <v>94</v>
      </c>
      <c r="K15" s="91">
        <f>ROUND($K$8*F15,2)</f>
        <v>107.9</v>
      </c>
    </row>
    <row r="16" spans="2:11" s="2" customFormat="1" x14ac:dyDescent="0.25">
      <c r="B16" s="3"/>
      <c r="C16" s="4">
        <v>10</v>
      </c>
      <c r="D16" s="29" t="s">
        <v>90</v>
      </c>
      <c r="E16" s="29"/>
      <c r="F16" s="170">
        <f>SUM(F12:F15)</f>
        <v>0.30859999999999999</v>
      </c>
      <c r="G16" s="198" t="s">
        <v>73</v>
      </c>
      <c r="H16" s="122" t="s">
        <v>94</v>
      </c>
      <c r="I16" s="129">
        <f>ROUND($I$8*F16,2)</f>
        <v>1800.5</v>
      </c>
      <c r="J16" s="124" t="s">
        <v>94</v>
      </c>
      <c r="K16" s="130">
        <f>ROUND($K$8*F16,2)</f>
        <v>2176.4</v>
      </c>
    </row>
    <row r="17" spans="2:11" s="2" customFormat="1" x14ac:dyDescent="0.25">
      <c r="B17" s="169" t="s">
        <v>54</v>
      </c>
      <c r="C17" s="16"/>
      <c r="D17" s="171" t="s">
        <v>92</v>
      </c>
      <c r="E17" s="172"/>
      <c r="F17" s="173"/>
      <c r="G17" s="199"/>
      <c r="H17" s="174"/>
      <c r="I17" s="175"/>
      <c r="J17" s="176"/>
      <c r="K17" s="177"/>
    </row>
    <row r="18" spans="2:11" s="2" customFormat="1" x14ac:dyDescent="0.25">
      <c r="B18" s="21" t="s">
        <v>55</v>
      </c>
      <c r="C18" s="4">
        <v>11</v>
      </c>
      <c r="D18" s="26" t="s">
        <v>90</v>
      </c>
      <c r="E18" s="26"/>
      <c r="F18" s="162">
        <f>F16-0.94%</f>
        <v>0.29920000000000002</v>
      </c>
      <c r="G18" s="197" t="s">
        <v>74</v>
      </c>
      <c r="H18" s="90" t="s">
        <v>94</v>
      </c>
      <c r="I18" s="72">
        <f>ROUND($I$8*F18,2)</f>
        <v>1745.65</v>
      </c>
      <c r="J18" s="71" t="s">
        <v>94</v>
      </c>
      <c r="K18" s="91">
        <f>ROUND($K$8*F18,2)</f>
        <v>2110.11</v>
      </c>
    </row>
    <row r="19" spans="2:11" s="2" customFormat="1" ht="6" customHeight="1" x14ac:dyDescent="0.25">
      <c r="B19" s="3"/>
      <c r="F19" s="163"/>
      <c r="G19" s="200"/>
      <c r="H19" s="89"/>
      <c r="I19" s="17"/>
      <c r="J19" s="37"/>
      <c r="K19" s="87"/>
    </row>
    <row r="20" spans="2:11" s="2" customFormat="1" ht="15.75" thickBot="1" x14ac:dyDescent="0.3">
      <c r="B20" s="45" t="s">
        <v>0</v>
      </c>
      <c r="C20" s="46">
        <v>12</v>
      </c>
      <c r="D20" s="47" t="s">
        <v>56</v>
      </c>
      <c r="E20" s="6"/>
      <c r="F20" s="164"/>
      <c r="G20" s="201" t="s">
        <v>75</v>
      </c>
      <c r="H20" s="118" t="s">
        <v>94</v>
      </c>
      <c r="I20" s="49">
        <f>ROUND((I8+I18)*2,2)</f>
        <v>15160.1</v>
      </c>
      <c r="J20" s="48" t="s">
        <v>94</v>
      </c>
      <c r="K20" s="119">
        <f>ROUND((K8+K18)*2,2)</f>
        <v>18325.22</v>
      </c>
    </row>
    <row r="21" spans="2:11" s="2" customFormat="1" ht="12.75" customHeight="1" thickBot="1" x14ac:dyDescent="0.3">
      <c r="B21" s="3"/>
      <c r="D21" s="43"/>
      <c r="E21" s="43"/>
      <c r="F21" s="44"/>
      <c r="G21" s="202"/>
      <c r="H21" s="88"/>
      <c r="I21" s="54"/>
      <c r="J21" s="4"/>
      <c r="K21" s="147"/>
    </row>
    <row r="22" spans="2:11" s="2" customFormat="1" ht="18" customHeight="1" x14ac:dyDescent="0.25">
      <c r="B22" s="58" t="s">
        <v>6</v>
      </c>
      <c r="C22" s="59">
        <v>13</v>
      </c>
      <c r="D22" s="60" t="s">
        <v>97</v>
      </c>
      <c r="E22" s="61"/>
      <c r="F22" s="157"/>
      <c r="G22" s="203" t="s">
        <v>104</v>
      </c>
      <c r="H22" s="120"/>
      <c r="I22" s="63">
        <f>ROUND(((I8+I16)*12+I20)/12,2)</f>
        <v>8898.24</v>
      </c>
      <c r="J22" s="62"/>
      <c r="K22" s="121">
        <f>ROUND(((K8+K16)*12+K20)/12,2)</f>
        <v>10756</v>
      </c>
    </row>
    <row r="23" spans="2:11" s="2" customFormat="1" ht="6" customHeight="1" x14ac:dyDescent="0.25">
      <c r="B23" s="3"/>
      <c r="C23" s="4"/>
      <c r="F23" s="155"/>
      <c r="G23" s="192"/>
      <c r="H23" s="88"/>
      <c r="I23" s="17"/>
      <c r="J23" s="35"/>
      <c r="K23" s="87"/>
    </row>
    <row r="24" spans="2:11" s="2" customFormat="1" x14ac:dyDescent="0.25">
      <c r="B24" s="3" t="s">
        <v>8</v>
      </c>
      <c r="C24" s="4">
        <v>14</v>
      </c>
      <c r="D24" s="2" t="s">
        <v>9</v>
      </c>
      <c r="F24" s="155">
        <v>365</v>
      </c>
      <c r="G24" s="192"/>
      <c r="H24" s="88"/>
      <c r="I24" s="17">
        <v>365</v>
      </c>
      <c r="J24" s="35"/>
      <c r="K24" s="87">
        <v>365</v>
      </c>
    </row>
    <row r="25" spans="2:11" s="2" customFormat="1" x14ac:dyDescent="0.25">
      <c r="B25" s="3"/>
      <c r="C25" s="4">
        <v>15</v>
      </c>
      <c r="D25" s="26" t="s">
        <v>10</v>
      </c>
      <c r="E25" s="26"/>
      <c r="F25" s="158">
        <v>52</v>
      </c>
      <c r="G25" s="196" t="s">
        <v>76</v>
      </c>
      <c r="H25" s="90"/>
      <c r="I25" s="72">
        <f>ROUND(F25*2,2)</f>
        <v>104</v>
      </c>
      <c r="J25" s="71"/>
      <c r="K25" s="91">
        <f>ROUND(F25*2,2)</f>
        <v>104</v>
      </c>
    </row>
    <row r="26" spans="2:11" s="2" customFormat="1" x14ac:dyDescent="0.25">
      <c r="B26" s="3"/>
      <c r="C26" s="4">
        <v>16</v>
      </c>
      <c r="D26" s="26" t="s">
        <v>134</v>
      </c>
      <c r="E26" s="26"/>
      <c r="F26" s="187">
        <v>14</v>
      </c>
      <c r="G26" s="196"/>
      <c r="H26" s="90"/>
      <c r="I26" s="72">
        <f>F26</f>
        <v>14</v>
      </c>
      <c r="J26" s="71"/>
      <c r="K26" s="91">
        <f>F26</f>
        <v>14</v>
      </c>
    </row>
    <row r="27" spans="2:11" s="2" customFormat="1" ht="15" x14ac:dyDescent="0.25">
      <c r="B27" s="3"/>
      <c r="C27" s="4">
        <v>17</v>
      </c>
      <c r="D27" s="27" t="s">
        <v>11</v>
      </c>
      <c r="E27" s="27"/>
      <c r="F27" s="159"/>
      <c r="G27" s="196" t="s">
        <v>102</v>
      </c>
      <c r="H27" s="90"/>
      <c r="I27" s="73">
        <f>ROUND(I24-I25-I26,2)</f>
        <v>247</v>
      </c>
      <c r="J27" s="71"/>
      <c r="K27" s="92">
        <f>ROUND(K24-K25-K26,2)</f>
        <v>247</v>
      </c>
    </row>
    <row r="28" spans="2:11" s="2" customFormat="1" x14ac:dyDescent="0.25">
      <c r="B28" s="3"/>
      <c r="C28" s="4">
        <v>18</v>
      </c>
      <c r="D28" s="26" t="s">
        <v>12</v>
      </c>
      <c r="E28" s="26"/>
      <c r="F28" s="187">
        <v>25</v>
      </c>
      <c r="G28" s="196"/>
      <c r="H28" s="90"/>
      <c r="I28" s="72">
        <f>F28</f>
        <v>25</v>
      </c>
      <c r="J28" s="71"/>
      <c r="K28" s="91">
        <f>F28</f>
        <v>25</v>
      </c>
    </row>
    <row r="29" spans="2:11" s="2" customFormat="1" x14ac:dyDescent="0.25">
      <c r="B29" s="3"/>
      <c r="C29" s="4" t="s">
        <v>131</v>
      </c>
      <c r="D29" s="26" t="s">
        <v>133</v>
      </c>
      <c r="E29" s="26"/>
      <c r="F29" s="158">
        <v>12.3</v>
      </c>
      <c r="G29" s="196"/>
      <c r="H29" s="90"/>
      <c r="I29" s="72">
        <f>F29</f>
        <v>12.3</v>
      </c>
      <c r="J29" s="71"/>
      <c r="K29" s="91">
        <f>F29</f>
        <v>12.3</v>
      </c>
    </row>
    <row r="30" spans="2:11" s="2" customFormat="1" x14ac:dyDescent="0.25">
      <c r="B30" s="3"/>
      <c r="C30" s="4" t="s">
        <v>130</v>
      </c>
      <c r="D30" s="26" t="s">
        <v>132</v>
      </c>
      <c r="E30" s="26"/>
      <c r="F30" s="187">
        <v>0</v>
      </c>
      <c r="G30" s="196"/>
      <c r="H30" s="90"/>
      <c r="I30" s="72">
        <f>F30</f>
        <v>0</v>
      </c>
      <c r="J30" s="71"/>
      <c r="K30" s="91">
        <f>F30</f>
        <v>0</v>
      </c>
    </row>
    <row r="31" spans="2:11" s="2" customFormat="1" ht="15" x14ac:dyDescent="0.25">
      <c r="B31" s="3"/>
      <c r="C31" s="4">
        <v>20</v>
      </c>
      <c r="D31" s="27" t="s">
        <v>13</v>
      </c>
      <c r="E31" s="27"/>
      <c r="F31" s="159"/>
      <c r="G31" s="196" t="s">
        <v>77</v>
      </c>
      <c r="H31" s="90"/>
      <c r="I31" s="73">
        <f>ROUND(I27-I28-I29-I30,2)</f>
        <v>209.7</v>
      </c>
      <c r="J31" s="71"/>
      <c r="K31" s="92">
        <f>ROUND(K27-K28-K29-K30,2)</f>
        <v>209.7</v>
      </c>
    </row>
    <row r="32" spans="2:11" s="2" customFormat="1" ht="9" customHeight="1" x14ac:dyDescent="0.25">
      <c r="B32" s="3"/>
      <c r="D32" s="29"/>
      <c r="E32" s="29"/>
      <c r="F32" s="153"/>
      <c r="G32" s="198"/>
      <c r="H32" s="122"/>
      <c r="I32" s="129"/>
      <c r="J32" s="124"/>
      <c r="K32" s="130"/>
    </row>
    <row r="33" spans="2:11" s="2" customFormat="1" x14ac:dyDescent="0.25">
      <c r="B33" s="3" t="s">
        <v>14</v>
      </c>
      <c r="C33" s="4">
        <v>21</v>
      </c>
      <c r="D33" s="30" t="s">
        <v>15</v>
      </c>
      <c r="E33" s="30"/>
      <c r="F33" s="188">
        <v>8</v>
      </c>
      <c r="G33" s="204"/>
      <c r="H33" s="131"/>
      <c r="I33" s="132">
        <f>F33</f>
        <v>8</v>
      </c>
      <c r="J33" s="133"/>
      <c r="K33" s="134">
        <f>F33</f>
        <v>8</v>
      </c>
    </row>
    <row r="34" spans="2:11" s="2" customFormat="1" x14ac:dyDescent="0.25">
      <c r="B34" s="3"/>
      <c r="C34" s="4">
        <v>22</v>
      </c>
      <c r="D34" s="26" t="s">
        <v>42</v>
      </c>
      <c r="E34" s="26"/>
      <c r="F34" s="158"/>
      <c r="G34" s="196" t="s">
        <v>78</v>
      </c>
      <c r="H34" s="90"/>
      <c r="I34" s="72">
        <f>ROUND(I31*I33,2)</f>
        <v>1677.6</v>
      </c>
      <c r="J34" s="71"/>
      <c r="K34" s="91">
        <f>ROUND(K31*K33,2)</f>
        <v>1677.6</v>
      </c>
    </row>
    <row r="35" spans="2:11" s="2" customFormat="1" ht="15.75" thickBot="1" x14ac:dyDescent="0.3">
      <c r="B35" s="3"/>
      <c r="C35" s="4">
        <v>23</v>
      </c>
      <c r="D35" s="26" t="s">
        <v>43</v>
      </c>
      <c r="E35" s="29"/>
      <c r="F35" s="153"/>
      <c r="G35" s="198" t="s">
        <v>79</v>
      </c>
      <c r="H35" s="122"/>
      <c r="I35" s="123">
        <f>ROUND(I34/12,2)</f>
        <v>139.80000000000001</v>
      </c>
      <c r="J35" s="124"/>
      <c r="K35" s="125">
        <f>ROUND(K31/K24*30.4167*8,2)</f>
        <v>139.80000000000001</v>
      </c>
    </row>
    <row r="36" spans="2:11" s="2" customFormat="1" ht="12.75" customHeight="1" thickBot="1" x14ac:dyDescent="0.3">
      <c r="B36" s="3"/>
      <c r="C36" s="4"/>
      <c r="D36" s="29"/>
      <c r="E36" s="10" t="s">
        <v>93</v>
      </c>
      <c r="F36" s="148" t="s">
        <v>62</v>
      </c>
      <c r="G36" s="205"/>
      <c r="H36" s="126"/>
      <c r="I36" s="116"/>
      <c r="J36" s="127"/>
      <c r="K36" s="117"/>
    </row>
    <row r="37" spans="2:11" s="2" customFormat="1" x14ac:dyDescent="0.25">
      <c r="B37" s="3" t="s">
        <v>16</v>
      </c>
      <c r="C37" s="4">
        <v>24</v>
      </c>
      <c r="D37" s="30" t="s">
        <v>63</v>
      </c>
      <c r="E37" s="128">
        <v>20</v>
      </c>
      <c r="F37" s="188">
        <v>12</v>
      </c>
      <c r="G37" s="197" t="s">
        <v>105</v>
      </c>
      <c r="H37" s="90"/>
      <c r="I37" s="72">
        <f t="shared" ref="I37:I42" si="0">ROUND(F37*$I$33,2)</f>
        <v>96</v>
      </c>
      <c r="J37" s="71"/>
      <c r="K37" s="91">
        <f t="shared" ref="K37:K42" si="1">ROUND(F37*$K$33,2)</f>
        <v>96</v>
      </c>
    </row>
    <row r="38" spans="2:11" s="2" customFormat="1" x14ac:dyDescent="0.25">
      <c r="B38" s="15" t="s">
        <v>41</v>
      </c>
      <c r="C38" s="4">
        <v>25</v>
      </c>
      <c r="D38" s="26" t="s">
        <v>17</v>
      </c>
      <c r="E38" s="28">
        <v>2</v>
      </c>
      <c r="F38" s="187">
        <v>2</v>
      </c>
      <c r="G38" s="197" t="s">
        <v>106</v>
      </c>
      <c r="H38" s="90"/>
      <c r="I38" s="72">
        <f t="shared" si="0"/>
        <v>16</v>
      </c>
      <c r="J38" s="71"/>
      <c r="K38" s="91">
        <f t="shared" si="1"/>
        <v>16</v>
      </c>
    </row>
    <row r="39" spans="2:11" s="2" customFormat="1" x14ac:dyDescent="0.25">
      <c r="B39" s="3"/>
      <c r="C39" s="4">
        <v>26</v>
      </c>
      <c r="D39" s="26" t="s">
        <v>18</v>
      </c>
      <c r="E39" s="28">
        <v>4</v>
      </c>
      <c r="F39" s="187">
        <v>2</v>
      </c>
      <c r="G39" s="197" t="s">
        <v>107</v>
      </c>
      <c r="H39" s="90"/>
      <c r="I39" s="72">
        <f t="shared" si="0"/>
        <v>16</v>
      </c>
      <c r="J39" s="71"/>
      <c r="K39" s="91">
        <f t="shared" si="1"/>
        <v>16</v>
      </c>
    </row>
    <row r="40" spans="2:11" s="2" customFormat="1" x14ac:dyDescent="0.25">
      <c r="B40" s="3"/>
      <c r="C40" s="4">
        <v>27</v>
      </c>
      <c r="D40" s="26" t="s">
        <v>19</v>
      </c>
      <c r="E40" s="28">
        <v>20</v>
      </c>
      <c r="F40" s="187">
        <v>12</v>
      </c>
      <c r="G40" s="197" t="s">
        <v>108</v>
      </c>
      <c r="H40" s="90"/>
      <c r="I40" s="72">
        <f t="shared" si="0"/>
        <v>96</v>
      </c>
      <c r="J40" s="71"/>
      <c r="K40" s="91">
        <f t="shared" si="1"/>
        <v>96</v>
      </c>
    </row>
    <row r="41" spans="2:11" s="2" customFormat="1" x14ac:dyDescent="0.25">
      <c r="B41" s="3"/>
      <c r="C41" s="4">
        <v>28</v>
      </c>
      <c r="D41" s="26" t="s">
        <v>112</v>
      </c>
      <c r="E41" s="28">
        <v>5</v>
      </c>
      <c r="F41" s="187">
        <v>3</v>
      </c>
      <c r="G41" s="197" t="s">
        <v>109</v>
      </c>
      <c r="H41" s="90"/>
      <c r="I41" s="72">
        <f t="shared" si="0"/>
        <v>24</v>
      </c>
      <c r="J41" s="71"/>
      <c r="K41" s="91">
        <f t="shared" si="1"/>
        <v>24</v>
      </c>
    </row>
    <row r="42" spans="2:11" s="2" customFormat="1" x14ac:dyDescent="0.25">
      <c r="B42" s="3"/>
      <c r="C42" s="4">
        <v>29</v>
      </c>
      <c r="D42" s="26" t="s">
        <v>20</v>
      </c>
      <c r="E42" s="28">
        <v>10</v>
      </c>
      <c r="F42" s="187">
        <v>5</v>
      </c>
      <c r="G42" s="197" t="s">
        <v>110</v>
      </c>
      <c r="H42" s="90"/>
      <c r="I42" s="72">
        <f t="shared" si="0"/>
        <v>40</v>
      </c>
      <c r="J42" s="71"/>
      <c r="K42" s="91">
        <f t="shared" si="1"/>
        <v>40</v>
      </c>
    </row>
    <row r="43" spans="2:11" s="2" customFormat="1" x14ac:dyDescent="0.25">
      <c r="B43" s="3"/>
      <c r="C43" s="4">
        <v>30</v>
      </c>
      <c r="D43" s="26" t="s">
        <v>24</v>
      </c>
      <c r="E43" s="28">
        <v>30</v>
      </c>
      <c r="F43" s="187">
        <v>20</v>
      </c>
      <c r="G43" s="197" t="s">
        <v>111</v>
      </c>
      <c r="H43" s="90"/>
      <c r="I43" s="72">
        <f>ROUND(F43*$I$33,2)</f>
        <v>160</v>
      </c>
      <c r="J43" s="71"/>
      <c r="K43" s="72">
        <f>ROUND(F43*$K$33,2)</f>
        <v>160</v>
      </c>
    </row>
    <row r="44" spans="2:11" s="2" customFormat="1" ht="15" x14ac:dyDescent="0.25">
      <c r="B44" s="3"/>
      <c r="C44" s="4">
        <v>31</v>
      </c>
      <c r="D44" s="26" t="s">
        <v>45</v>
      </c>
      <c r="E44" s="26"/>
      <c r="F44" s="152">
        <f>I44/I34</f>
        <v>0.26700000000000002</v>
      </c>
      <c r="G44" s="197" t="s">
        <v>91</v>
      </c>
      <c r="H44" s="90"/>
      <c r="I44" s="72">
        <f>ROUND(SUM(I37:I43),2)</f>
        <v>448</v>
      </c>
      <c r="J44" s="71"/>
      <c r="K44" s="91">
        <f>ROUND(SUM(K37:K43),2)</f>
        <v>448</v>
      </c>
    </row>
    <row r="45" spans="2:11" s="2" customFormat="1" ht="15" x14ac:dyDescent="0.25">
      <c r="B45" s="3"/>
      <c r="C45" s="4">
        <v>32</v>
      </c>
      <c r="D45" s="26" t="s">
        <v>46</v>
      </c>
      <c r="E45" s="26"/>
      <c r="F45" s="152">
        <f>F44</f>
        <v>0.26700000000000002</v>
      </c>
      <c r="G45" s="197" t="s">
        <v>103</v>
      </c>
      <c r="H45" s="90"/>
      <c r="I45" s="73">
        <f>ROUND(F45*I35,2)</f>
        <v>37.33</v>
      </c>
      <c r="J45" s="71"/>
      <c r="K45" s="92">
        <f>ROUND(F45*K35,2)</f>
        <v>37.33</v>
      </c>
    </row>
    <row r="46" spans="2:11" s="2" customFormat="1" x14ac:dyDescent="0.25">
      <c r="B46" s="3"/>
      <c r="D46" s="29"/>
      <c r="E46" s="29"/>
      <c r="F46" s="153"/>
      <c r="G46" s="198"/>
      <c r="H46" s="135"/>
      <c r="I46" s="129"/>
      <c r="J46" s="136"/>
      <c r="K46" s="130"/>
    </row>
    <row r="47" spans="2:11" s="2" customFormat="1" x14ac:dyDescent="0.25">
      <c r="B47" s="3" t="s">
        <v>21</v>
      </c>
      <c r="C47" s="4">
        <v>33</v>
      </c>
      <c r="D47" s="30" t="s">
        <v>22</v>
      </c>
      <c r="E47" s="30"/>
      <c r="F47" s="154"/>
      <c r="G47" s="204" t="s">
        <v>80</v>
      </c>
      <c r="H47" s="131"/>
      <c r="I47" s="132">
        <f>ROUND(I34-I44,2)</f>
        <v>1229.5999999999999</v>
      </c>
      <c r="J47" s="133"/>
      <c r="K47" s="134">
        <f>ROUND(K34-K44,2)</f>
        <v>1229.5999999999999</v>
      </c>
    </row>
    <row r="48" spans="2:11" s="2" customFormat="1" ht="14.25" customHeight="1" x14ac:dyDescent="0.25">
      <c r="B48" s="3" t="s">
        <v>0</v>
      </c>
      <c r="C48" s="4">
        <v>34</v>
      </c>
      <c r="D48" s="2" t="s">
        <v>44</v>
      </c>
      <c r="F48" s="155"/>
      <c r="G48" s="192" t="s">
        <v>81</v>
      </c>
      <c r="H48" s="88"/>
      <c r="I48" s="19">
        <f>ROUND(I35-I45,2)</f>
        <v>102.47</v>
      </c>
      <c r="J48" s="35"/>
      <c r="K48" s="93">
        <f>ROUND(K35-K45,2)</f>
        <v>102.47</v>
      </c>
    </row>
    <row r="49" spans="2:14" s="2" customFormat="1" ht="18.75" customHeight="1" x14ac:dyDescent="0.25">
      <c r="B49" s="181" t="s">
        <v>23</v>
      </c>
      <c r="C49" s="182">
        <v>35</v>
      </c>
      <c r="D49" s="183" t="s">
        <v>47</v>
      </c>
      <c r="E49" s="184"/>
      <c r="F49" s="185"/>
      <c r="G49" s="206" t="s">
        <v>82</v>
      </c>
      <c r="H49" s="107" t="s">
        <v>94</v>
      </c>
      <c r="I49" s="104">
        <f>ROUND(I22/I48,2)</f>
        <v>86.84</v>
      </c>
      <c r="J49" s="108" t="s">
        <v>94</v>
      </c>
      <c r="K49" s="106">
        <f>ROUND(K22/K48,2)</f>
        <v>104.97</v>
      </c>
    </row>
    <row r="50" spans="2:14" s="2" customFormat="1" ht="6" customHeight="1" x14ac:dyDescent="0.25">
      <c r="B50" s="3"/>
      <c r="F50" s="4"/>
      <c r="G50" s="192"/>
      <c r="H50" s="109"/>
      <c r="I50" s="54"/>
      <c r="J50" s="38"/>
      <c r="K50" s="87"/>
    </row>
    <row r="51" spans="2:14" s="2" customFormat="1" ht="6.75" customHeight="1" x14ac:dyDescent="0.25">
      <c r="B51" s="3"/>
      <c r="F51" s="4"/>
      <c r="G51" s="192"/>
      <c r="H51" s="109"/>
      <c r="I51" s="54"/>
      <c r="J51" s="38"/>
      <c r="K51" s="87"/>
    </row>
    <row r="52" spans="2:14" s="80" customFormat="1" ht="16.5" customHeight="1" x14ac:dyDescent="0.25">
      <c r="B52" s="75" t="s">
        <v>48</v>
      </c>
      <c r="C52" s="81"/>
      <c r="D52" s="76"/>
      <c r="E52" s="76"/>
      <c r="F52" s="82"/>
      <c r="G52" s="215"/>
      <c r="H52" s="110"/>
      <c r="I52" s="83"/>
      <c r="J52" s="82"/>
      <c r="K52" s="100"/>
    </row>
    <row r="53" spans="2:14" s="2" customFormat="1" ht="5.25" customHeight="1" x14ac:dyDescent="0.25">
      <c r="B53" s="3"/>
      <c r="F53" s="4"/>
      <c r="G53" s="192"/>
      <c r="H53" s="109"/>
      <c r="I53" s="54"/>
      <c r="J53" s="38"/>
      <c r="K53" s="87"/>
    </row>
    <row r="54" spans="2:14" s="2" customFormat="1" ht="15.75" thickBot="1" x14ac:dyDescent="0.3">
      <c r="B54" s="55" t="s">
        <v>25</v>
      </c>
      <c r="C54" s="7"/>
      <c r="D54" s="7" t="s">
        <v>0</v>
      </c>
      <c r="E54" s="6"/>
      <c r="F54" s="56"/>
      <c r="G54" s="216"/>
      <c r="H54" s="111"/>
      <c r="I54" s="97" t="s">
        <v>0</v>
      </c>
      <c r="J54" s="96"/>
      <c r="K54" s="93" t="s">
        <v>0</v>
      </c>
    </row>
    <row r="55" spans="2:14" s="2" customFormat="1" ht="15" thickBot="1" x14ac:dyDescent="0.3">
      <c r="B55" s="8" t="s">
        <v>26</v>
      </c>
      <c r="D55" s="5"/>
      <c r="E55" s="10" t="s">
        <v>93</v>
      </c>
      <c r="F55" s="148" t="s">
        <v>61</v>
      </c>
      <c r="G55" s="209"/>
      <c r="H55" s="113"/>
      <c r="I55" s="20"/>
      <c r="J55" s="114"/>
      <c r="K55" s="115"/>
    </row>
    <row r="56" spans="2:14" s="2" customFormat="1" x14ac:dyDescent="0.25">
      <c r="B56" s="3"/>
      <c r="C56" s="2">
        <v>36</v>
      </c>
      <c r="D56" s="2" t="s">
        <v>95</v>
      </c>
      <c r="E56" s="9">
        <v>7.0000000000000007E-2</v>
      </c>
      <c r="F56" s="189">
        <v>7.0000000000000007E-2</v>
      </c>
      <c r="G56" s="209"/>
      <c r="H56" s="98"/>
      <c r="I56" s="17"/>
      <c r="J56" s="41"/>
      <c r="K56" s="87"/>
      <c r="N56" s="4"/>
    </row>
    <row r="57" spans="2:14" s="2" customFormat="1" x14ac:dyDescent="0.25">
      <c r="B57" s="3"/>
      <c r="C57" s="2">
        <v>37</v>
      </c>
      <c r="D57" s="26" t="s">
        <v>32</v>
      </c>
      <c r="E57" s="22">
        <v>0.15</v>
      </c>
      <c r="F57" s="190">
        <v>0.15</v>
      </c>
      <c r="G57" s="210"/>
      <c r="H57" s="98"/>
      <c r="I57" s="17"/>
      <c r="J57" s="41"/>
      <c r="K57" s="87"/>
    </row>
    <row r="58" spans="2:14" s="2" customFormat="1" x14ac:dyDescent="0.25">
      <c r="B58" s="3"/>
      <c r="C58" s="2">
        <v>38</v>
      </c>
      <c r="D58" s="26" t="s">
        <v>27</v>
      </c>
      <c r="E58" s="22">
        <v>0.05</v>
      </c>
      <c r="F58" s="190">
        <v>0.05</v>
      </c>
      <c r="G58" s="210"/>
      <c r="H58" s="98"/>
      <c r="I58" s="17"/>
      <c r="J58" s="41"/>
      <c r="K58" s="87"/>
    </row>
    <row r="59" spans="2:14" s="2" customFormat="1" x14ac:dyDescent="0.25">
      <c r="B59" s="3"/>
      <c r="C59" s="2">
        <v>39</v>
      </c>
      <c r="D59" s="26" t="s">
        <v>28</v>
      </c>
      <c r="E59" s="22">
        <v>0.08</v>
      </c>
      <c r="F59" s="190">
        <v>0.08</v>
      </c>
      <c r="G59" s="210"/>
      <c r="H59" s="98"/>
      <c r="I59" s="17"/>
      <c r="J59" s="41"/>
      <c r="K59" s="87"/>
    </row>
    <row r="60" spans="2:14" s="2" customFormat="1" x14ac:dyDescent="0.25">
      <c r="B60" s="3"/>
      <c r="C60" s="2">
        <v>40</v>
      </c>
      <c r="D60" s="26" t="s">
        <v>29</v>
      </c>
      <c r="E60" s="22">
        <v>0.1</v>
      </c>
      <c r="F60" s="190">
        <v>0.1</v>
      </c>
      <c r="G60" s="210"/>
      <c r="H60" s="98"/>
      <c r="I60" s="17"/>
      <c r="J60" s="41"/>
      <c r="K60" s="87"/>
    </row>
    <row r="61" spans="2:14" s="2" customFormat="1" x14ac:dyDescent="0.25">
      <c r="B61" s="3"/>
      <c r="C61" s="2">
        <v>41</v>
      </c>
      <c r="D61" s="26" t="s">
        <v>57</v>
      </c>
      <c r="E61" s="22">
        <v>0.05</v>
      </c>
      <c r="F61" s="190">
        <v>0.05</v>
      </c>
      <c r="G61" s="210"/>
      <c r="H61" s="98"/>
      <c r="I61" s="17"/>
      <c r="J61" s="41"/>
      <c r="K61" s="87"/>
    </row>
    <row r="62" spans="2:14" s="2" customFormat="1" x14ac:dyDescent="0.25">
      <c r="B62" s="3"/>
      <c r="C62" s="2">
        <v>42</v>
      </c>
      <c r="D62" s="26" t="s">
        <v>30</v>
      </c>
      <c r="E62" s="22">
        <v>0.01</v>
      </c>
      <c r="F62" s="190">
        <v>0.01</v>
      </c>
      <c r="G62" s="210"/>
      <c r="H62" s="98"/>
      <c r="I62" s="17"/>
      <c r="J62" s="41"/>
      <c r="K62" s="87"/>
    </row>
    <row r="63" spans="2:14" s="2" customFormat="1" x14ac:dyDescent="0.25">
      <c r="B63" s="3"/>
      <c r="C63" s="2">
        <v>43</v>
      </c>
      <c r="D63" s="26" t="s">
        <v>33</v>
      </c>
      <c r="E63" s="22">
        <v>0.02</v>
      </c>
      <c r="F63" s="190">
        <v>0.02</v>
      </c>
      <c r="G63" s="210"/>
      <c r="H63" s="98"/>
      <c r="I63" s="17"/>
      <c r="J63" s="41"/>
      <c r="K63" s="87"/>
    </row>
    <row r="64" spans="2:14" s="2" customFormat="1" x14ac:dyDescent="0.25">
      <c r="B64" s="3"/>
      <c r="C64" s="2">
        <v>44</v>
      </c>
      <c r="D64" s="26" t="s">
        <v>34</v>
      </c>
      <c r="E64" s="22">
        <v>0.02</v>
      </c>
      <c r="F64" s="190">
        <v>0.02</v>
      </c>
      <c r="G64" s="210"/>
      <c r="H64" s="98"/>
      <c r="I64" s="17"/>
      <c r="J64" s="41"/>
      <c r="K64" s="87"/>
    </row>
    <row r="65" spans="2:17" s="2" customFormat="1" x14ac:dyDescent="0.25">
      <c r="B65" s="3"/>
      <c r="C65" s="2">
        <v>45</v>
      </c>
      <c r="D65" s="26" t="s">
        <v>35</v>
      </c>
      <c r="E65" s="22">
        <v>0.01</v>
      </c>
      <c r="F65" s="190">
        <v>0.01</v>
      </c>
      <c r="G65" s="210"/>
      <c r="H65" s="98"/>
      <c r="I65" s="17"/>
      <c r="J65" s="41"/>
      <c r="K65" s="87"/>
    </row>
    <row r="66" spans="2:17" s="2" customFormat="1" x14ac:dyDescent="0.25">
      <c r="B66" s="3"/>
      <c r="C66" s="2">
        <v>46</v>
      </c>
      <c r="D66" s="26" t="s">
        <v>31</v>
      </c>
      <c r="E66" s="22">
        <v>0.02</v>
      </c>
      <c r="F66" s="190">
        <v>0.02</v>
      </c>
      <c r="G66" s="210"/>
      <c r="H66" s="98"/>
      <c r="I66" s="17"/>
      <c r="J66" s="41"/>
      <c r="K66" s="87"/>
    </row>
    <row r="67" spans="2:17" s="2" customFormat="1" x14ac:dyDescent="0.25">
      <c r="B67" s="3"/>
      <c r="C67" s="2">
        <v>47</v>
      </c>
      <c r="D67" s="26" t="s">
        <v>36</v>
      </c>
      <c r="E67" s="22">
        <v>0.02</v>
      </c>
      <c r="F67" s="190">
        <v>0.02</v>
      </c>
      <c r="G67" s="210"/>
      <c r="H67" s="98"/>
      <c r="I67" s="17"/>
      <c r="J67" s="41"/>
      <c r="K67" s="87"/>
    </row>
    <row r="68" spans="2:17" s="2" customFormat="1" x14ac:dyDescent="0.25">
      <c r="B68" s="8" t="s">
        <v>114</v>
      </c>
      <c r="C68" s="2">
        <v>48</v>
      </c>
      <c r="D68" s="26" t="s">
        <v>115</v>
      </c>
      <c r="E68" s="22">
        <v>0.15</v>
      </c>
      <c r="F68" s="190">
        <v>0.15</v>
      </c>
      <c r="G68" s="210"/>
      <c r="H68" s="112"/>
      <c r="I68" s="17"/>
      <c r="J68" s="40"/>
      <c r="K68" s="87"/>
    </row>
    <row r="69" spans="2:17" s="2" customFormat="1" ht="15" x14ac:dyDescent="0.25">
      <c r="B69" s="3"/>
      <c r="C69" s="2">
        <v>49</v>
      </c>
      <c r="D69" s="50" t="s">
        <v>49</v>
      </c>
      <c r="E69" s="51">
        <f>SUM(E56:E68)</f>
        <v>0.75</v>
      </c>
      <c r="F69" s="149">
        <f>SUM(F56:F68)</f>
        <v>0.75</v>
      </c>
      <c r="G69" s="207" t="s">
        <v>83</v>
      </c>
      <c r="H69" s="166" t="s">
        <v>94</v>
      </c>
      <c r="I69" s="53">
        <f>ROUND(F69*I49,2)</f>
        <v>65.13</v>
      </c>
      <c r="J69" s="52"/>
      <c r="K69" s="167">
        <f>ROUND(F69*K49,2)</f>
        <v>78.73</v>
      </c>
    </row>
    <row r="70" spans="2:17" s="2" customFormat="1" ht="5.25" customHeight="1" x14ac:dyDescent="0.25">
      <c r="B70" s="3"/>
      <c r="D70" s="16"/>
      <c r="E70" s="42"/>
      <c r="F70" s="42"/>
      <c r="G70" s="208"/>
      <c r="H70" s="98"/>
      <c r="I70" s="54"/>
      <c r="J70" s="9"/>
      <c r="K70" s="87"/>
    </row>
    <row r="71" spans="2:17" s="2" customFormat="1" ht="15" x14ac:dyDescent="0.25">
      <c r="B71" s="55" t="s">
        <v>39</v>
      </c>
      <c r="C71" s="7"/>
      <c r="D71" s="7" t="s">
        <v>0</v>
      </c>
      <c r="E71" s="178"/>
      <c r="F71" s="178"/>
      <c r="G71" s="209"/>
      <c r="H71" s="98"/>
      <c r="I71" s="97" t="s">
        <v>0</v>
      </c>
      <c r="J71" s="9"/>
      <c r="K71" s="93" t="s">
        <v>0</v>
      </c>
    </row>
    <row r="72" spans="2:17" s="2" customFormat="1" x14ac:dyDescent="0.25">
      <c r="B72" s="169"/>
      <c r="C72" s="16">
        <v>50</v>
      </c>
      <c r="D72" s="16" t="s">
        <v>37</v>
      </c>
      <c r="E72" s="42">
        <v>0.05</v>
      </c>
      <c r="F72" s="191">
        <v>0.05</v>
      </c>
      <c r="G72" s="208"/>
      <c r="H72" s="179"/>
      <c r="I72" s="18"/>
      <c r="J72" s="180"/>
      <c r="K72" s="146"/>
    </row>
    <row r="73" spans="2:17" s="2" customFormat="1" x14ac:dyDescent="0.25">
      <c r="B73" s="3"/>
      <c r="C73" s="2">
        <v>51</v>
      </c>
      <c r="D73" s="26" t="s">
        <v>113</v>
      </c>
      <c r="E73" s="22">
        <v>0.05</v>
      </c>
      <c r="F73" s="190">
        <v>0.05</v>
      </c>
      <c r="G73" s="210"/>
      <c r="H73" s="98"/>
      <c r="I73" s="17"/>
      <c r="J73" s="41"/>
      <c r="K73" s="87"/>
      <c r="Q73" s="2" t="s">
        <v>0</v>
      </c>
    </row>
    <row r="74" spans="2:17" s="2" customFormat="1" x14ac:dyDescent="0.25">
      <c r="B74" s="3"/>
      <c r="C74" s="2">
        <v>52</v>
      </c>
      <c r="D74" s="26" t="s">
        <v>38</v>
      </c>
      <c r="E74" s="22">
        <v>0.04</v>
      </c>
      <c r="F74" s="190">
        <v>0.04</v>
      </c>
      <c r="G74" s="210"/>
      <c r="H74" s="98"/>
      <c r="I74" s="17"/>
      <c r="J74" s="41"/>
      <c r="K74" s="87"/>
    </row>
    <row r="75" spans="2:17" s="2" customFormat="1" ht="5.25" customHeight="1" x14ac:dyDescent="0.25">
      <c r="B75" s="3"/>
      <c r="D75" s="29"/>
      <c r="E75" s="137"/>
      <c r="F75" s="150"/>
      <c r="G75" s="194"/>
      <c r="H75" s="98"/>
      <c r="I75" s="17"/>
      <c r="J75" s="41"/>
      <c r="K75" s="87"/>
    </row>
    <row r="76" spans="2:17" s="2" customFormat="1" ht="15" x14ac:dyDescent="0.25">
      <c r="B76" s="3"/>
      <c r="C76" s="2">
        <v>53</v>
      </c>
      <c r="D76" s="140" t="s">
        <v>50</v>
      </c>
      <c r="E76" s="141">
        <f>SUM(E72:E75)</f>
        <v>0.14000000000000001</v>
      </c>
      <c r="F76" s="151">
        <f>SUM(F72:F75)</f>
        <v>0.14000000000000001</v>
      </c>
      <c r="G76" s="211" t="s">
        <v>84</v>
      </c>
      <c r="H76" s="142" t="s">
        <v>94</v>
      </c>
      <c r="I76" s="143">
        <f>ROUND(F76*I49,2)</f>
        <v>12.16</v>
      </c>
      <c r="J76" s="144"/>
      <c r="K76" s="145">
        <f>ROUND(F76*K49,2)</f>
        <v>14.7</v>
      </c>
    </row>
    <row r="77" spans="2:17" s="2" customFormat="1" ht="6.75" customHeight="1" x14ac:dyDescent="0.25">
      <c r="B77" s="3"/>
      <c r="D77" s="29"/>
      <c r="E77" s="137"/>
      <c r="F77" s="150"/>
      <c r="G77" s="194"/>
      <c r="H77" s="138"/>
      <c r="I77" s="129"/>
      <c r="J77" s="139"/>
      <c r="K77" s="130"/>
    </row>
    <row r="78" spans="2:17" s="2" customFormat="1" ht="15" x14ac:dyDescent="0.25">
      <c r="B78" s="3"/>
      <c r="C78" s="2">
        <v>54</v>
      </c>
      <c r="D78" s="140" t="s">
        <v>51</v>
      </c>
      <c r="E78" s="141">
        <f>E76+E69</f>
        <v>0.89</v>
      </c>
      <c r="F78" s="151">
        <f>F76+F69</f>
        <v>0.89</v>
      </c>
      <c r="G78" s="211" t="s">
        <v>85</v>
      </c>
      <c r="H78" s="142" t="s">
        <v>94</v>
      </c>
      <c r="I78" s="143">
        <f>ROUND(F78*I49,2)</f>
        <v>77.290000000000006</v>
      </c>
      <c r="J78" s="144"/>
      <c r="K78" s="145">
        <f>ROUND(F78*K49,2)</f>
        <v>93.42</v>
      </c>
    </row>
    <row r="79" spans="2:17" s="2" customFormat="1" ht="9" customHeight="1" x14ac:dyDescent="0.25">
      <c r="B79" s="3"/>
      <c r="F79" s="4"/>
      <c r="G79" s="192"/>
      <c r="H79" s="88"/>
      <c r="I79" s="54"/>
      <c r="J79" s="4"/>
      <c r="K79" s="87"/>
    </row>
    <row r="80" spans="2:17" s="80" customFormat="1" ht="16.5" customHeight="1" x14ac:dyDescent="0.25">
      <c r="B80" s="75" t="s">
        <v>99</v>
      </c>
      <c r="C80" s="76"/>
      <c r="D80" s="77"/>
      <c r="E80" s="76"/>
      <c r="F80" s="165"/>
      <c r="G80" s="212" t="s">
        <v>86</v>
      </c>
      <c r="H80" s="99" t="s">
        <v>94</v>
      </c>
      <c r="I80" s="78">
        <f>ROUND(I49+I78,2)</f>
        <v>164.13</v>
      </c>
      <c r="J80" s="79"/>
      <c r="K80" s="100">
        <f>ROUND(K49+K78,2)</f>
        <v>198.39</v>
      </c>
    </row>
    <row r="81" spans="2:11" s="2" customFormat="1" ht="5.25" customHeight="1" x14ac:dyDescent="0.25">
      <c r="B81" s="3"/>
      <c r="F81" s="4"/>
      <c r="G81" s="192"/>
      <c r="H81" s="88"/>
      <c r="I81" s="54"/>
      <c r="J81" s="4"/>
      <c r="K81" s="87"/>
    </row>
    <row r="82" spans="2:11" s="2" customFormat="1" ht="15" x14ac:dyDescent="0.25">
      <c r="B82" s="181" t="s">
        <v>58</v>
      </c>
      <c r="C82" s="184"/>
      <c r="D82" s="183"/>
      <c r="E82" s="184"/>
      <c r="F82" s="185"/>
      <c r="G82" s="206" t="s">
        <v>88</v>
      </c>
      <c r="H82" s="103" t="s">
        <v>94</v>
      </c>
      <c r="I82" s="104">
        <f>ROUND(I80*I48,2)</f>
        <v>16818.400000000001</v>
      </c>
      <c r="J82" s="217"/>
      <c r="K82" s="106">
        <f>ROUND(K80*K48,2)</f>
        <v>20329.02</v>
      </c>
    </row>
    <row r="83" spans="2:11" s="2" customFormat="1" ht="5.25" customHeight="1" x14ac:dyDescent="0.25">
      <c r="B83" s="3"/>
      <c r="F83" s="4"/>
      <c r="G83" s="192"/>
      <c r="H83" s="88"/>
      <c r="I83" s="54"/>
      <c r="J83" s="218"/>
      <c r="K83" s="87"/>
    </row>
    <row r="84" spans="2:11" s="2" customFormat="1" ht="15.75" thickBot="1" x14ac:dyDescent="0.3">
      <c r="B84" s="23" t="s">
        <v>59</v>
      </c>
      <c r="C84" s="24"/>
      <c r="D84" s="25"/>
      <c r="E84" s="24"/>
      <c r="F84" s="156"/>
      <c r="G84" s="213" t="s">
        <v>87</v>
      </c>
      <c r="H84" s="101" t="s">
        <v>94</v>
      </c>
      <c r="I84" s="94">
        <f>ROUND(I80*I47,2)</f>
        <v>201814.25</v>
      </c>
      <c r="J84" s="219"/>
      <c r="K84" s="95">
        <f>ROUND(K80*K47,2)</f>
        <v>243940.34</v>
      </c>
    </row>
    <row r="85" spans="2:11" x14ac:dyDescent="0.2">
      <c r="B85" s="221"/>
    </row>
    <row r="86" spans="2:11" ht="3.75" customHeight="1" x14ac:dyDescent="0.2"/>
    <row r="87" spans="2:11" x14ac:dyDescent="0.2">
      <c r="B87" s="214" t="s">
        <v>140</v>
      </c>
      <c r="D87" s="214" t="s">
        <v>139</v>
      </c>
      <c r="E87" s="31" t="s">
        <v>89</v>
      </c>
      <c r="F87" s="70"/>
      <c r="G87" s="31" t="s">
        <v>125</v>
      </c>
    </row>
    <row r="88" spans="2:11" ht="3" customHeight="1" x14ac:dyDescent="0.2">
      <c r="E88" s="31"/>
    </row>
    <row r="89" spans="2:11" ht="36.75" customHeight="1" x14ac:dyDescent="0.2">
      <c r="B89" s="227" t="s">
        <v>150</v>
      </c>
      <c r="C89" s="227"/>
      <c r="D89" s="227"/>
      <c r="E89" s="227"/>
      <c r="F89" s="227"/>
      <c r="G89" s="227"/>
      <c r="H89" s="227"/>
      <c r="I89" s="227"/>
      <c r="J89" s="227"/>
      <c r="K89" s="227"/>
    </row>
  </sheetData>
  <mergeCells count="5">
    <mergeCell ref="B89:K89"/>
    <mergeCell ref="B3:D3"/>
    <mergeCell ref="F3:K3"/>
    <mergeCell ref="H5:I5"/>
    <mergeCell ref="J5:K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Q89"/>
  <sheetViews>
    <sheetView showGridLines="0" view="pageBreakPreview" topLeftCell="A54" zoomScaleNormal="85" zoomScaleSheetLayoutView="100" zoomScalePageLayoutView="70" workbookViewId="0">
      <selection activeCell="F30" sqref="F30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1" customWidth="1"/>
    <col min="8" max="8" width="5.42578125" style="31" customWidth="1"/>
    <col min="9" max="9" width="13.7109375" style="1" customWidth="1"/>
    <col min="10" max="10" width="5.42578125" style="31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1" t="s">
        <v>120</v>
      </c>
      <c r="C2" s="12"/>
      <c r="D2" s="13"/>
      <c r="E2" s="13"/>
      <c r="F2" s="13"/>
      <c r="G2" s="32"/>
      <c r="H2" s="32"/>
      <c r="I2" s="13"/>
      <c r="J2" s="32"/>
      <c r="K2" s="14"/>
    </row>
    <row r="3" spans="2:11" ht="87" customHeight="1" x14ac:dyDescent="0.2">
      <c r="B3" s="222" t="s">
        <v>121</v>
      </c>
      <c r="C3" s="223"/>
      <c r="D3" s="223"/>
      <c r="E3" s="69" t="s">
        <v>127</v>
      </c>
      <c r="F3" s="224" t="s">
        <v>141</v>
      </c>
      <c r="G3" s="225"/>
      <c r="H3" s="225"/>
      <c r="I3" s="225"/>
      <c r="J3" s="225"/>
      <c r="K3" s="226"/>
    </row>
    <row r="4" spans="2:11" ht="7.5" customHeight="1" thickBot="1" x14ac:dyDescent="0.25">
      <c r="B4" s="65"/>
      <c r="C4" s="66"/>
      <c r="D4" s="66"/>
      <c r="E4" s="67"/>
      <c r="F4" s="67"/>
      <c r="G4" s="67"/>
      <c r="H4" s="67"/>
      <c r="I4" s="67"/>
      <c r="J4" s="67"/>
      <c r="K4" s="68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230" t="s">
        <v>143</v>
      </c>
      <c r="I5" s="231"/>
      <c r="J5" s="228" t="s">
        <v>142</v>
      </c>
      <c r="K5" s="229"/>
    </row>
    <row r="6" spans="2:11" s="2" customFormat="1" ht="15" customHeight="1" x14ac:dyDescent="0.25">
      <c r="B6" s="3"/>
      <c r="F6" s="160" t="s">
        <v>64</v>
      </c>
      <c r="G6" s="192" t="s">
        <v>100</v>
      </c>
      <c r="H6" s="84"/>
      <c r="I6" s="64" t="s">
        <v>66</v>
      </c>
      <c r="J6" s="33"/>
      <c r="K6" s="85" t="s">
        <v>65</v>
      </c>
    </row>
    <row r="7" spans="2:11" s="2" customFormat="1" ht="15" x14ac:dyDescent="0.25">
      <c r="B7" s="55" t="s">
        <v>40</v>
      </c>
      <c r="C7" s="4">
        <v>1</v>
      </c>
      <c r="D7" s="2" t="s">
        <v>52</v>
      </c>
      <c r="F7" s="161"/>
      <c r="G7" s="195"/>
      <c r="H7" s="86" t="s">
        <v>94</v>
      </c>
      <c r="I7" s="18">
        <v>3773</v>
      </c>
      <c r="J7" s="34" t="s">
        <v>94</v>
      </c>
      <c r="K7" s="146">
        <v>4474</v>
      </c>
    </row>
    <row r="8" spans="2:11" s="2" customFormat="1" ht="15" x14ac:dyDescent="0.25">
      <c r="B8" s="55" t="s">
        <v>0</v>
      </c>
      <c r="C8" s="4">
        <v>2</v>
      </c>
      <c r="D8" s="168" t="s">
        <v>53</v>
      </c>
      <c r="E8" s="168"/>
      <c r="F8" s="186">
        <v>0.3</v>
      </c>
      <c r="G8" s="194" t="s">
        <v>101</v>
      </c>
      <c r="H8" s="138" t="s">
        <v>94</v>
      </c>
      <c r="I8" s="123">
        <f>ROUND(I7*(1+F8),2)</f>
        <v>4904.8999999999996</v>
      </c>
      <c r="J8" s="139" t="s">
        <v>94</v>
      </c>
      <c r="K8" s="125">
        <f>ROUND(K7*(1+F8),)</f>
        <v>5816</v>
      </c>
    </row>
    <row r="9" spans="2:11" s="2" customFormat="1" x14ac:dyDescent="0.25">
      <c r="B9" s="169"/>
      <c r="C9" s="36">
        <v>3</v>
      </c>
      <c r="D9" s="16" t="s">
        <v>5</v>
      </c>
      <c r="E9" s="16"/>
      <c r="F9" s="161">
        <v>4.33</v>
      </c>
      <c r="G9" s="195" t="s">
        <v>67</v>
      </c>
      <c r="H9" s="86" t="s">
        <v>94</v>
      </c>
      <c r="I9" s="18">
        <f>ROUND(I8/F9,2)</f>
        <v>1132.77</v>
      </c>
      <c r="J9" s="34" t="s">
        <v>94</v>
      </c>
      <c r="K9" s="146">
        <f>ROUND(K8/F9,2)</f>
        <v>1343.19</v>
      </c>
    </row>
    <row r="10" spans="2:11" s="2" customFormat="1" x14ac:dyDescent="0.25">
      <c r="B10" s="3" t="s">
        <v>0</v>
      </c>
      <c r="C10" s="4">
        <v>4</v>
      </c>
      <c r="D10" s="26" t="s">
        <v>96</v>
      </c>
      <c r="E10" s="26"/>
      <c r="F10" s="158">
        <v>40</v>
      </c>
      <c r="G10" s="196" t="s">
        <v>68</v>
      </c>
      <c r="H10" s="90" t="s">
        <v>94</v>
      </c>
      <c r="I10" s="72">
        <f>ROUND(I9/F10,2)</f>
        <v>28.32</v>
      </c>
      <c r="J10" s="71" t="s">
        <v>94</v>
      </c>
      <c r="K10" s="91">
        <f>ROUND(K9/F10,2)</f>
        <v>33.58</v>
      </c>
    </row>
    <row r="11" spans="2:11" s="2" customFormat="1" x14ac:dyDescent="0.25">
      <c r="B11" s="3" t="s">
        <v>0</v>
      </c>
      <c r="C11" s="4">
        <v>5</v>
      </c>
      <c r="D11" s="26"/>
      <c r="E11" s="26"/>
      <c r="F11" s="158"/>
      <c r="G11" s="196"/>
      <c r="H11" s="90"/>
      <c r="I11" s="72"/>
      <c r="J11" s="71"/>
      <c r="K11" s="91"/>
    </row>
    <row r="12" spans="2:11" s="2" customFormat="1" x14ac:dyDescent="0.25">
      <c r="B12" s="3" t="s">
        <v>0</v>
      </c>
      <c r="C12" s="4">
        <v>6</v>
      </c>
      <c r="D12" s="26" t="s">
        <v>1</v>
      </c>
      <c r="E12" s="26"/>
      <c r="F12" s="162">
        <v>0.21829999999999999</v>
      </c>
      <c r="G12" s="197" t="s">
        <v>69</v>
      </c>
      <c r="H12" s="90" t="s">
        <v>94</v>
      </c>
      <c r="I12" s="72">
        <f>ROUND($I$8*F12,2)</f>
        <v>1070.74</v>
      </c>
      <c r="J12" s="71" t="s">
        <v>94</v>
      </c>
      <c r="K12" s="91">
        <f>ROUND($K$8*F12,2)</f>
        <v>1269.6300000000001</v>
      </c>
    </row>
    <row r="13" spans="2:11" s="2" customFormat="1" x14ac:dyDescent="0.25">
      <c r="B13" s="3" t="s">
        <v>0</v>
      </c>
      <c r="C13" s="4">
        <v>7</v>
      </c>
      <c r="D13" s="26" t="s">
        <v>2</v>
      </c>
      <c r="E13" s="26"/>
      <c r="F13" s="162">
        <v>4.4999999999999998E-2</v>
      </c>
      <c r="G13" s="197" t="s">
        <v>70</v>
      </c>
      <c r="H13" s="90" t="s">
        <v>94</v>
      </c>
      <c r="I13" s="72">
        <f>ROUND($I$8*F13,2)</f>
        <v>220.72</v>
      </c>
      <c r="J13" s="71" t="s">
        <v>94</v>
      </c>
      <c r="K13" s="91">
        <f>ROUND($K$8*F13,2)</f>
        <v>261.72000000000003</v>
      </c>
    </row>
    <row r="14" spans="2:11" s="2" customFormat="1" x14ac:dyDescent="0.25">
      <c r="B14" s="3"/>
      <c r="C14" s="4">
        <v>8</v>
      </c>
      <c r="D14" s="26" t="s">
        <v>3</v>
      </c>
      <c r="E14" s="26"/>
      <c r="F14" s="162">
        <v>0.03</v>
      </c>
      <c r="G14" s="197" t="s">
        <v>71</v>
      </c>
      <c r="H14" s="90" t="s">
        <v>94</v>
      </c>
      <c r="I14" s="72">
        <f>ROUND($I$8*F14,2)</f>
        <v>147.15</v>
      </c>
      <c r="J14" s="71" t="s">
        <v>94</v>
      </c>
      <c r="K14" s="91">
        <f>ROUND($K$8*F14,2)</f>
        <v>174.48</v>
      </c>
    </row>
    <row r="15" spans="2:11" s="2" customFormat="1" x14ac:dyDescent="0.25">
      <c r="B15" s="3"/>
      <c r="C15" s="4">
        <v>9</v>
      </c>
      <c r="D15" s="26" t="s">
        <v>4</v>
      </c>
      <c r="E15" s="26"/>
      <c r="F15" s="162">
        <v>1.5299999999999999E-2</v>
      </c>
      <c r="G15" s="197" t="s">
        <v>72</v>
      </c>
      <c r="H15" s="90" t="s">
        <v>94</v>
      </c>
      <c r="I15" s="72">
        <f>ROUND($I$8*F15,2)</f>
        <v>75.040000000000006</v>
      </c>
      <c r="J15" s="71" t="s">
        <v>94</v>
      </c>
      <c r="K15" s="91">
        <f>ROUND($K$8*F15,2)</f>
        <v>88.98</v>
      </c>
    </row>
    <row r="16" spans="2:11" s="2" customFormat="1" x14ac:dyDescent="0.25">
      <c r="B16" s="3"/>
      <c r="C16" s="4">
        <v>10</v>
      </c>
      <c r="D16" s="29" t="s">
        <v>90</v>
      </c>
      <c r="E16" s="29"/>
      <c r="F16" s="170">
        <f>SUM(F12:F15)</f>
        <v>0.30859999999999999</v>
      </c>
      <c r="G16" s="198" t="s">
        <v>73</v>
      </c>
      <c r="H16" s="122" t="s">
        <v>94</v>
      </c>
      <c r="I16" s="129">
        <f>ROUND($I$8*F16,2)</f>
        <v>1513.65</v>
      </c>
      <c r="J16" s="124" t="s">
        <v>94</v>
      </c>
      <c r="K16" s="130">
        <f>ROUND($K$8*F16,2)</f>
        <v>1794.82</v>
      </c>
    </row>
    <row r="17" spans="2:11" s="2" customFormat="1" x14ac:dyDescent="0.25">
      <c r="B17" s="169" t="s">
        <v>54</v>
      </c>
      <c r="C17" s="16"/>
      <c r="D17" s="171" t="s">
        <v>92</v>
      </c>
      <c r="E17" s="172"/>
      <c r="F17" s="173"/>
      <c r="G17" s="199"/>
      <c r="H17" s="174"/>
      <c r="I17" s="175"/>
      <c r="J17" s="176"/>
      <c r="K17" s="177"/>
    </row>
    <row r="18" spans="2:11" s="2" customFormat="1" x14ac:dyDescent="0.25">
      <c r="B18" s="21" t="s">
        <v>55</v>
      </c>
      <c r="C18" s="4">
        <v>11</v>
      </c>
      <c r="D18" s="26" t="s">
        <v>90</v>
      </c>
      <c r="E18" s="26"/>
      <c r="F18" s="162">
        <f>F16-0.94%</f>
        <v>0.29920000000000002</v>
      </c>
      <c r="G18" s="197" t="s">
        <v>74</v>
      </c>
      <c r="H18" s="90" t="s">
        <v>94</v>
      </c>
      <c r="I18" s="72">
        <f>ROUND($I$8*F18,2)</f>
        <v>1467.55</v>
      </c>
      <c r="J18" s="71" t="s">
        <v>94</v>
      </c>
      <c r="K18" s="91">
        <f>ROUND($K$8*F18,2)</f>
        <v>1740.15</v>
      </c>
    </row>
    <row r="19" spans="2:11" s="2" customFormat="1" ht="6" customHeight="1" x14ac:dyDescent="0.25">
      <c r="B19" s="3"/>
      <c r="F19" s="163"/>
      <c r="G19" s="200"/>
      <c r="H19" s="89"/>
      <c r="I19" s="17"/>
      <c r="J19" s="37"/>
      <c r="K19" s="87"/>
    </row>
    <row r="20" spans="2:11" s="2" customFormat="1" ht="15.75" thickBot="1" x14ac:dyDescent="0.3">
      <c r="B20" s="45" t="s">
        <v>0</v>
      </c>
      <c r="C20" s="46">
        <v>12</v>
      </c>
      <c r="D20" s="47" t="s">
        <v>56</v>
      </c>
      <c r="E20" s="6"/>
      <c r="F20" s="164"/>
      <c r="G20" s="201" t="s">
        <v>75</v>
      </c>
      <c r="H20" s="118" t="s">
        <v>94</v>
      </c>
      <c r="I20" s="49">
        <f>ROUND((I8+I18)*2,2)</f>
        <v>12744.9</v>
      </c>
      <c r="J20" s="48" t="s">
        <v>94</v>
      </c>
      <c r="K20" s="119">
        <f>ROUND((K8+K18)*2,2)</f>
        <v>15112.3</v>
      </c>
    </row>
    <row r="21" spans="2:11" s="2" customFormat="1" ht="12.75" customHeight="1" thickBot="1" x14ac:dyDescent="0.3">
      <c r="B21" s="3"/>
      <c r="D21" s="43"/>
      <c r="E21" s="43"/>
      <c r="F21" s="44"/>
      <c r="G21" s="202"/>
      <c r="H21" s="88"/>
      <c r="I21" s="54"/>
      <c r="J21" s="4"/>
      <c r="K21" s="147"/>
    </row>
    <row r="22" spans="2:11" s="2" customFormat="1" ht="18" customHeight="1" x14ac:dyDescent="0.25">
      <c r="B22" s="58" t="s">
        <v>6</v>
      </c>
      <c r="C22" s="59">
        <v>13</v>
      </c>
      <c r="D22" s="60" t="s">
        <v>97</v>
      </c>
      <c r="E22" s="61"/>
      <c r="F22" s="157"/>
      <c r="G22" s="203" t="s">
        <v>104</v>
      </c>
      <c r="H22" s="120"/>
      <c r="I22" s="63">
        <f>ROUND(((I8+I16)*12+I20)/12,2)</f>
        <v>7480.63</v>
      </c>
      <c r="J22" s="62"/>
      <c r="K22" s="121">
        <f>ROUND(((K8+K16)*12+K20)/12,2)</f>
        <v>8870.18</v>
      </c>
    </row>
    <row r="23" spans="2:11" s="2" customFormat="1" ht="6" customHeight="1" x14ac:dyDescent="0.25">
      <c r="B23" s="3"/>
      <c r="C23" s="4"/>
      <c r="F23" s="155"/>
      <c r="G23" s="192"/>
      <c r="H23" s="88"/>
      <c r="I23" s="17"/>
      <c r="J23" s="35"/>
      <c r="K23" s="87"/>
    </row>
    <row r="24" spans="2:11" s="2" customFormat="1" x14ac:dyDescent="0.25">
      <c r="B24" s="3" t="s">
        <v>8</v>
      </c>
      <c r="C24" s="4">
        <v>14</v>
      </c>
      <c r="D24" s="2" t="s">
        <v>9</v>
      </c>
      <c r="F24" s="155">
        <v>365</v>
      </c>
      <c r="G24" s="192"/>
      <c r="H24" s="88"/>
      <c r="I24" s="17">
        <v>365</v>
      </c>
      <c r="J24" s="35"/>
      <c r="K24" s="87">
        <v>365</v>
      </c>
    </row>
    <row r="25" spans="2:11" s="2" customFormat="1" x14ac:dyDescent="0.25">
      <c r="B25" s="3"/>
      <c r="C25" s="4">
        <v>15</v>
      </c>
      <c r="D25" s="26" t="s">
        <v>10</v>
      </c>
      <c r="E25" s="26"/>
      <c r="F25" s="158">
        <v>52</v>
      </c>
      <c r="G25" s="196" t="s">
        <v>76</v>
      </c>
      <c r="H25" s="90"/>
      <c r="I25" s="72">
        <f>ROUND(F25*2,2)</f>
        <v>104</v>
      </c>
      <c r="J25" s="71"/>
      <c r="K25" s="91">
        <f>ROUND(F25*2,2)</f>
        <v>104</v>
      </c>
    </row>
    <row r="26" spans="2:11" s="2" customFormat="1" x14ac:dyDescent="0.25">
      <c r="B26" s="3"/>
      <c r="C26" s="4">
        <v>16</v>
      </c>
      <c r="D26" s="26" t="s">
        <v>134</v>
      </c>
      <c r="E26" s="26"/>
      <c r="F26" s="187">
        <v>14</v>
      </c>
      <c r="G26" s="196"/>
      <c r="H26" s="90"/>
      <c r="I26" s="72">
        <f>F26</f>
        <v>14</v>
      </c>
      <c r="J26" s="71"/>
      <c r="K26" s="91">
        <f>F26</f>
        <v>14</v>
      </c>
    </row>
    <row r="27" spans="2:11" s="2" customFormat="1" ht="15" x14ac:dyDescent="0.25">
      <c r="B27" s="3"/>
      <c r="C27" s="4">
        <v>17</v>
      </c>
      <c r="D27" s="27" t="s">
        <v>11</v>
      </c>
      <c r="E27" s="27"/>
      <c r="F27" s="159"/>
      <c r="G27" s="196" t="s">
        <v>102</v>
      </c>
      <c r="H27" s="90"/>
      <c r="I27" s="73">
        <f>ROUND(I24-I25-I26,2)</f>
        <v>247</v>
      </c>
      <c r="J27" s="71"/>
      <c r="K27" s="92">
        <f>ROUND(K24-K25-K26,2)</f>
        <v>247</v>
      </c>
    </row>
    <row r="28" spans="2:11" s="2" customFormat="1" x14ac:dyDescent="0.25">
      <c r="B28" s="3"/>
      <c r="C28" s="4">
        <v>18</v>
      </c>
      <c r="D28" s="26" t="s">
        <v>12</v>
      </c>
      <c r="E28" s="26"/>
      <c r="F28" s="187">
        <v>25</v>
      </c>
      <c r="G28" s="196"/>
      <c r="H28" s="90"/>
      <c r="I28" s="72">
        <f>F28</f>
        <v>25</v>
      </c>
      <c r="J28" s="71"/>
      <c r="K28" s="91">
        <f>F28</f>
        <v>25</v>
      </c>
    </row>
    <row r="29" spans="2:11" s="2" customFormat="1" x14ac:dyDescent="0.25">
      <c r="B29" s="3"/>
      <c r="C29" s="4" t="s">
        <v>131</v>
      </c>
      <c r="D29" s="26" t="s">
        <v>133</v>
      </c>
      <c r="E29" s="26"/>
      <c r="F29" s="158">
        <v>12.3</v>
      </c>
      <c r="G29" s="196"/>
      <c r="H29" s="90"/>
      <c r="I29" s="72">
        <f>F29</f>
        <v>12.3</v>
      </c>
      <c r="J29" s="71"/>
      <c r="K29" s="91">
        <f>F29</f>
        <v>12.3</v>
      </c>
    </row>
    <row r="30" spans="2:11" s="2" customFormat="1" x14ac:dyDescent="0.25">
      <c r="B30" s="3"/>
      <c r="C30" s="4" t="s">
        <v>130</v>
      </c>
      <c r="D30" s="26" t="s">
        <v>132</v>
      </c>
      <c r="E30" s="26"/>
      <c r="F30" s="187">
        <v>0</v>
      </c>
      <c r="G30" s="196"/>
      <c r="H30" s="90"/>
      <c r="I30" s="72">
        <f>F30</f>
        <v>0</v>
      </c>
      <c r="J30" s="71"/>
      <c r="K30" s="91">
        <f>F30</f>
        <v>0</v>
      </c>
    </row>
    <row r="31" spans="2:11" s="2" customFormat="1" ht="15" x14ac:dyDescent="0.25">
      <c r="B31" s="3"/>
      <c r="C31" s="4">
        <v>20</v>
      </c>
      <c r="D31" s="27" t="s">
        <v>13</v>
      </c>
      <c r="E31" s="27"/>
      <c r="F31" s="159"/>
      <c r="G31" s="196" t="s">
        <v>77</v>
      </c>
      <c r="H31" s="90"/>
      <c r="I31" s="73">
        <f>ROUND(I27-I28-I29-I30,2)</f>
        <v>209.7</v>
      </c>
      <c r="J31" s="71"/>
      <c r="K31" s="92">
        <f>ROUND(K27-K28-K29-K30,2)</f>
        <v>209.7</v>
      </c>
    </row>
    <row r="32" spans="2:11" s="2" customFormat="1" ht="9" customHeight="1" x14ac:dyDescent="0.25">
      <c r="B32" s="3"/>
      <c r="D32" s="29"/>
      <c r="E32" s="29"/>
      <c r="F32" s="153"/>
      <c r="G32" s="198"/>
      <c r="H32" s="122"/>
      <c r="I32" s="129"/>
      <c r="J32" s="124"/>
      <c r="K32" s="130"/>
    </row>
    <row r="33" spans="2:11" s="2" customFormat="1" x14ac:dyDescent="0.25">
      <c r="B33" s="3" t="s">
        <v>14</v>
      </c>
      <c r="C33" s="4">
        <v>21</v>
      </c>
      <c r="D33" s="30" t="s">
        <v>15</v>
      </c>
      <c r="E33" s="30"/>
      <c r="F33" s="188">
        <v>8</v>
      </c>
      <c r="G33" s="204"/>
      <c r="H33" s="131"/>
      <c r="I33" s="132">
        <f>F33</f>
        <v>8</v>
      </c>
      <c r="J33" s="133"/>
      <c r="K33" s="134">
        <f>F33</f>
        <v>8</v>
      </c>
    </row>
    <row r="34" spans="2:11" s="2" customFormat="1" x14ac:dyDescent="0.25">
      <c r="B34" s="3"/>
      <c r="C34" s="4">
        <v>22</v>
      </c>
      <c r="D34" s="26" t="s">
        <v>42</v>
      </c>
      <c r="E34" s="26"/>
      <c r="F34" s="158"/>
      <c r="G34" s="196" t="s">
        <v>78</v>
      </c>
      <c r="H34" s="90"/>
      <c r="I34" s="72">
        <f>ROUND(I31*I33,2)</f>
        <v>1677.6</v>
      </c>
      <c r="J34" s="71"/>
      <c r="K34" s="91">
        <f>ROUND(K31*K33,2)</f>
        <v>1677.6</v>
      </c>
    </row>
    <row r="35" spans="2:11" s="2" customFormat="1" ht="15.75" thickBot="1" x14ac:dyDescent="0.3">
      <c r="B35" s="3"/>
      <c r="C35" s="4">
        <v>23</v>
      </c>
      <c r="D35" s="26" t="s">
        <v>43</v>
      </c>
      <c r="E35" s="29"/>
      <c r="F35" s="153"/>
      <c r="G35" s="198" t="s">
        <v>79</v>
      </c>
      <c r="H35" s="122"/>
      <c r="I35" s="123">
        <f>ROUND(I34/12,2)</f>
        <v>139.80000000000001</v>
      </c>
      <c r="J35" s="124"/>
      <c r="K35" s="125">
        <f>ROUND(K31/K24*30.4167*8,2)</f>
        <v>139.80000000000001</v>
      </c>
    </row>
    <row r="36" spans="2:11" s="2" customFormat="1" ht="12.75" customHeight="1" thickBot="1" x14ac:dyDescent="0.3">
      <c r="B36" s="3"/>
      <c r="C36" s="4"/>
      <c r="D36" s="29"/>
      <c r="E36" s="10" t="s">
        <v>93</v>
      </c>
      <c r="F36" s="148" t="s">
        <v>62</v>
      </c>
      <c r="G36" s="205"/>
      <c r="H36" s="126"/>
      <c r="I36" s="116"/>
      <c r="J36" s="127"/>
      <c r="K36" s="117"/>
    </row>
    <row r="37" spans="2:11" s="2" customFormat="1" x14ac:dyDescent="0.25">
      <c r="B37" s="3" t="s">
        <v>16</v>
      </c>
      <c r="C37" s="4">
        <v>24</v>
      </c>
      <c r="D37" s="30" t="s">
        <v>63</v>
      </c>
      <c r="E37" s="128">
        <v>12</v>
      </c>
      <c r="F37" s="188">
        <v>12</v>
      </c>
      <c r="G37" s="197" t="s">
        <v>105</v>
      </c>
      <c r="H37" s="90"/>
      <c r="I37" s="72">
        <f t="shared" ref="I37:I43" si="0">ROUND(F37*$I$33,2)</f>
        <v>96</v>
      </c>
      <c r="J37" s="71"/>
      <c r="K37" s="91">
        <f t="shared" ref="K37:K43" si="1">ROUND(F37*$K$33,2)</f>
        <v>96</v>
      </c>
    </row>
    <row r="38" spans="2:11" s="2" customFormat="1" x14ac:dyDescent="0.25">
      <c r="B38" s="15" t="s">
        <v>41</v>
      </c>
      <c r="C38" s="4">
        <v>25</v>
      </c>
      <c r="D38" s="26" t="s">
        <v>17</v>
      </c>
      <c r="E38" s="28">
        <v>2</v>
      </c>
      <c r="F38" s="187">
        <v>2</v>
      </c>
      <c r="G38" s="197" t="s">
        <v>106</v>
      </c>
      <c r="H38" s="90"/>
      <c r="I38" s="72">
        <f t="shared" si="0"/>
        <v>16</v>
      </c>
      <c r="J38" s="71"/>
      <c r="K38" s="91">
        <f t="shared" si="1"/>
        <v>16</v>
      </c>
    </row>
    <row r="39" spans="2:11" s="2" customFormat="1" x14ac:dyDescent="0.25">
      <c r="B39" s="3"/>
      <c r="C39" s="4">
        <v>26</v>
      </c>
      <c r="D39" s="26" t="s">
        <v>18</v>
      </c>
      <c r="E39" s="28">
        <v>2</v>
      </c>
      <c r="F39" s="187">
        <v>2</v>
      </c>
      <c r="G39" s="197" t="s">
        <v>107</v>
      </c>
      <c r="H39" s="90"/>
      <c r="I39" s="72">
        <f t="shared" si="0"/>
        <v>16</v>
      </c>
      <c r="J39" s="71"/>
      <c r="K39" s="91">
        <f t="shared" si="1"/>
        <v>16</v>
      </c>
    </row>
    <row r="40" spans="2:11" s="2" customFormat="1" x14ac:dyDescent="0.25">
      <c r="B40" s="3"/>
      <c r="C40" s="4">
        <v>27</v>
      </c>
      <c r="D40" s="26" t="s">
        <v>19</v>
      </c>
      <c r="E40" s="28">
        <v>12</v>
      </c>
      <c r="F40" s="187">
        <v>12</v>
      </c>
      <c r="G40" s="197" t="s">
        <v>108</v>
      </c>
      <c r="H40" s="90"/>
      <c r="I40" s="72">
        <f>ROUND(F40*$I$33,2)</f>
        <v>96</v>
      </c>
      <c r="J40" s="71"/>
      <c r="K40" s="91">
        <f t="shared" si="1"/>
        <v>96</v>
      </c>
    </row>
    <row r="41" spans="2:11" s="2" customFormat="1" x14ac:dyDescent="0.25">
      <c r="B41" s="3"/>
      <c r="C41" s="4">
        <v>28</v>
      </c>
      <c r="D41" s="26" t="s">
        <v>112</v>
      </c>
      <c r="E41" s="28">
        <v>3</v>
      </c>
      <c r="F41" s="187">
        <v>3</v>
      </c>
      <c r="G41" s="197" t="s">
        <v>109</v>
      </c>
      <c r="H41" s="90"/>
      <c r="I41" s="72">
        <f t="shared" si="0"/>
        <v>24</v>
      </c>
      <c r="J41" s="71"/>
      <c r="K41" s="91">
        <f t="shared" si="1"/>
        <v>24</v>
      </c>
    </row>
    <row r="42" spans="2:11" s="2" customFormat="1" x14ac:dyDescent="0.25">
      <c r="B42" s="3"/>
      <c r="C42" s="4">
        <v>29</v>
      </c>
      <c r="D42" s="26" t="s">
        <v>20</v>
      </c>
      <c r="E42" s="28">
        <v>5</v>
      </c>
      <c r="F42" s="187">
        <v>5</v>
      </c>
      <c r="G42" s="197" t="s">
        <v>110</v>
      </c>
      <c r="H42" s="90"/>
      <c r="I42" s="72">
        <f t="shared" si="0"/>
        <v>40</v>
      </c>
      <c r="J42" s="71"/>
      <c r="K42" s="91">
        <f t="shared" si="1"/>
        <v>40</v>
      </c>
    </row>
    <row r="43" spans="2:11" s="2" customFormat="1" x14ac:dyDescent="0.25">
      <c r="B43" s="3"/>
      <c r="C43" s="4">
        <v>30</v>
      </c>
      <c r="D43" s="26" t="s">
        <v>24</v>
      </c>
      <c r="E43" s="28">
        <v>20</v>
      </c>
      <c r="F43" s="187">
        <v>20</v>
      </c>
      <c r="G43" s="197" t="s">
        <v>111</v>
      </c>
      <c r="H43" s="90"/>
      <c r="I43" s="72">
        <f t="shared" si="0"/>
        <v>160</v>
      </c>
      <c r="J43" s="71"/>
      <c r="K43" s="91">
        <f t="shared" si="1"/>
        <v>160</v>
      </c>
    </row>
    <row r="44" spans="2:11" s="2" customFormat="1" ht="15" x14ac:dyDescent="0.25">
      <c r="B44" s="3"/>
      <c r="C44" s="4">
        <v>31</v>
      </c>
      <c r="D44" s="26" t="s">
        <v>45</v>
      </c>
      <c r="E44" s="26"/>
      <c r="F44" s="152">
        <f>I44/I34</f>
        <v>0.26700000000000002</v>
      </c>
      <c r="G44" s="197" t="s">
        <v>91</v>
      </c>
      <c r="H44" s="90"/>
      <c r="I44" s="72">
        <f>ROUND(SUM(I37:I43),2)</f>
        <v>448</v>
      </c>
      <c r="J44" s="71"/>
      <c r="K44" s="91">
        <f>ROUND(SUM(K37:K43),3)</f>
        <v>448</v>
      </c>
    </row>
    <row r="45" spans="2:11" s="2" customFormat="1" ht="15" x14ac:dyDescent="0.25">
      <c r="B45" s="3"/>
      <c r="C45" s="4">
        <v>32</v>
      </c>
      <c r="D45" s="26" t="s">
        <v>46</v>
      </c>
      <c r="E45" s="26"/>
      <c r="F45" s="152">
        <f>F44</f>
        <v>0.26700000000000002</v>
      </c>
      <c r="G45" s="197" t="s">
        <v>103</v>
      </c>
      <c r="H45" s="90"/>
      <c r="I45" s="73">
        <f>ROUND(F45*I35,2)</f>
        <v>37.33</v>
      </c>
      <c r="J45" s="71"/>
      <c r="K45" s="92">
        <f>ROUND(F45*K35,2)</f>
        <v>37.33</v>
      </c>
    </row>
    <row r="46" spans="2:11" s="2" customFormat="1" x14ac:dyDescent="0.25">
      <c r="B46" s="3"/>
      <c r="D46" s="29"/>
      <c r="E46" s="29"/>
      <c r="F46" s="153"/>
      <c r="G46" s="198"/>
      <c r="H46" s="135"/>
      <c r="I46" s="129"/>
      <c r="J46" s="136"/>
      <c r="K46" s="130"/>
    </row>
    <row r="47" spans="2:11" s="2" customFormat="1" x14ac:dyDescent="0.25">
      <c r="B47" s="3" t="s">
        <v>21</v>
      </c>
      <c r="C47" s="4">
        <v>33</v>
      </c>
      <c r="D47" s="30" t="s">
        <v>22</v>
      </c>
      <c r="E47" s="30"/>
      <c r="F47" s="154"/>
      <c r="G47" s="204" t="s">
        <v>80</v>
      </c>
      <c r="H47" s="131"/>
      <c r="I47" s="132">
        <f>ROUND(I34-I44,2)</f>
        <v>1229.5999999999999</v>
      </c>
      <c r="J47" s="133"/>
      <c r="K47" s="134">
        <f>ROUND(K34-K44,2)</f>
        <v>1229.5999999999999</v>
      </c>
    </row>
    <row r="48" spans="2:11" s="2" customFormat="1" ht="14.25" customHeight="1" x14ac:dyDescent="0.25">
      <c r="B48" s="3" t="s">
        <v>0</v>
      </c>
      <c r="C48" s="4">
        <v>34</v>
      </c>
      <c r="D48" s="2" t="s">
        <v>44</v>
      </c>
      <c r="F48" s="155"/>
      <c r="G48" s="192" t="s">
        <v>81</v>
      </c>
      <c r="H48" s="88"/>
      <c r="I48" s="19">
        <f>ROUND(I35-I45,2)</f>
        <v>102.47</v>
      </c>
      <c r="J48" s="35"/>
      <c r="K48" s="93">
        <f>ROUND(K35-K45,2)</f>
        <v>102.47</v>
      </c>
    </row>
    <row r="49" spans="2:14" s="2" customFormat="1" ht="18.75" customHeight="1" x14ac:dyDescent="0.25">
      <c r="B49" s="181" t="s">
        <v>23</v>
      </c>
      <c r="C49" s="182">
        <v>35</v>
      </c>
      <c r="D49" s="183" t="s">
        <v>47</v>
      </c>
      <c r="E49" s="184"/>
      <c r="F49" s="185"/>
      <c r="G49" s="206" t="s">
        <v>82</v>
      </c>
      <c r="H49" s="107" t="s">
        <v>94</v>
      </c>
      <c r="I49" s="104">
        <f>ROUND(I22/I48,2)</f>
        <v>73</v>
      </c>
      <c r="J49" s="108" t="s">
        <v>94</v>
      </c>
      <c r="K49" s="106">
        <f>ROUND(K22/K48,2)</f>
        <v>86.56</v>
      </c>
    </row>
    <row r="50" spans="2:14" s="2" customFormat="1" ht="6" customHeight="1" x14ac:dyDescent="0.25">
      <c r="B50" s="3"/>
      <c r="F50" s="4"/>
      <c r="G50" s="192"/>
      <c r="H50" s="109"/>
      <c r="I50" s="54"/>
      <c r="J50" s="38"/>
      <c r="K50" s="87"/>
    </row>
    <row r="51" spans="2:14" s="2" customFormat="1" ht="6.75" customHeight="1" x14ac:dyDescent="0.25">
      <c r="B51" s="3"/>
      <c r="F51" s="4"/>
      <c r="G51" s="192"/>
      <c r="H51" s="109"/>
      <c r="I51" s="54"/>
      <c r="J51" s="38"/>
      <c r="K51" s="87"/>
    </row>
    <row r="52" spans="2:14" s="80" customFormat="1" ht="16.5" customHeight="1" x14ac:dyDescent="0.25">
      <c r="B52" s="75" t="s">
        <v>48</v>
      </c>
      <c r="C52" s="81"/>
      <c r="D52" s="76"/>
      <c r="E52" s="76"/>
      <c r="F52" s="82"/>
      <c r="G52" s="215"/>
      <c r="H52" s="110"/>
      <c r="I52" s="83"/>
      <c r="J52" s="82"/>
      <c r="K52" s="100"/>
    </row>
    <row r="53" spans="2:14" s="2" customFormat="1" ht="5.25" customHeight="1" x14ac:dyDescent="0.25">
      <c r="B53" s="3"/>
      <c r="F53" s="4"/>
      <c r="G53" s="192"/>
      <c r="H53" s="109"/>
      <c r="I53" s="54"/>
      <c r="J53" s="38"/>
      <c r="K53" s="87"/>
    </row>
    <row r="54" spans="2:14" s="2" customFormat="1" ht="15.75" thickBot="1" x14ac:dyDescent="0.3">
      <c r="B54" s="55" t="s">
        <v>25</v>
      </c>
      <c r="C54" s="7"/>
      <c r="D54" s="7" t="s">
        <v>0</v>
      </c>
      <c r="E54" s="6"/>
      <c r="F54" s="56"/>
      <c r="G54" s="216"/>
      <c r="H54" s="111"/>
      <c r="I54" s="97" t="s">
        <v>0</v>
      </c>
      <c r="J54" s="96"/>
      <c r="K54" s="93" t="s">
        <v>0</v>
      </c>
    </row>
    <row r="55" spans="2:14" s="2" customFormat="1" ht="15" thickBot="1" x14ac:dyDescent="0.3">
      <c r="B55" s="8" t="s">
        <v>26</v>
      </c>
      <c r="D55" s="5"/>
      <c r="E55" s="10" t="s">
        <v>93</v>
      </c>
      <c r="F55" s="148" t="s">
        <v>61</v>
      </c>
      <c r="G55" s="209"/>
      <c r="H55" s="113"/>
      <c r="I55" s="20"/>
      <c r="J55" s="114"/>
      <c r="K55" s="115"/>
    </row>
    <row r="56" spans="2:14" s="2" customFormat="1" x14ac:dyDescent="0.25">
      <c r="B56" s="3"/>
      <c r="C56" s="2">
        <v>36</v>
      </c>
      <c r="D56" s="2" t="s">
        <v>95</v>
      </c>
      <c r="E56" s="9">
        <v>7.0000000000000007E-2</v>
      </c>
      <c r="F56" s="189">
        <v>7.0000000000000007E-2</v>
      </c>
      <c r="G56" s="209"/>
      <c r="H56" s="98"/>
      <c r="I56" s="17"/>
      <c r="J56" s="41"/>
      <c r="K56" s="87"/>
      <c r="N56" s="4"/>
    </row>
    <row r="57" spans="2:14" s="2" customFormat="1" x14ac:dyDescent="0.25">
      <c r="B57" s="3"/>
      <c r="C57" s="2">
        <v>37</v>
      </c>
      <c r="D57" s="26" t="s">
        <v>32</v>
      </c>
      <c r="E57" s="22">
        <v>0.15</v>
      </c>
      <c r="F57" s="190">
        <v>0.15</v>
      </c>
      <c r="G57" s="210"/>
      <c r="H57" s="98"/>
      <c r="I57" s="17"/>
      <c r="J57" s="41"/>
      <c r="K57" s="87"/>
    </row>
    <row r="58" spans="2:14" s="2" customFormat="1" x14ac:dyDescent="0.25">
      <c r="B58" s="3"/>
      <c r="C58" s="2">
        <v>38</v>
      </c>
      <c r="D58" s="26" t="s">
        <v>27</v>
      </c>
      <c r="E58" s="22">
        <v>0.05</v>
      </c>
      <c r="F58" s="190">
        <v>0.05</v>
      </c>
      <c r="G58" s="210"/>
      <c r="H58" s="98"/>
      <c r="I58" s="17"/>
      <c r="J58" s="41"/>
      <c r="K58" s="87"/>
    </row>
    <row r="59" spans="2:14" s="2" customFormat="1" x14ac:dyDescent="0.25">
      <c r="B59" s="3"/>
      <c r="C59" s="2">
        <v>39</v>
      </c>
      <c r="D59" s="26" t="s">
        <v>28</v>
      </c>
      <c r="E59" s="22">
        <v>0.08</v>
      </c>
      <c r="F59" s="190">
        <v>0.08</v>
      </c>
      <c r="G59" s="210"/>
      <c r="H59" s="98"/>
      <c r="I59" s="17"/>
      <c r="J59" s="41"/>
      <c r="K59" s="87"/>
    </row>
    <row r="60" spans="2:14" s="2" customFormat="1" x14ac:dyDescent="0.25">
      <c r="B60" s="3"/>
      <c r="C60" s="2">
        <v>40</v>
      </c>
      <c r="D60" s="26" t="s">
        <v>29</v>
      </c>
      <c r="E60" s="22">
        <v>0.03</v>
      </c>
      <c r="F60" s="190">
        <v>0.03</v>
      </c>
      <c r="G60" s="210"/>
      <c r="H60" s="98"/>
      <c r="I60" s="17"/>
      <c r="J60" s="41"/>
      <c r="K60" s="87"/>
    </row>
    <row r="61" spans="2:14" s="2" customFormat="1" x14ac:dyDescent="0.25">
      <c r="B61" s="3"/>
      <c r="C61" s="2">
        <v>41</v>
      </c>
      <c r="D61" s="26" t="s">
        <v>57</v>
      </c>
      <c r="E61" s="22">
        <v>0.05</v>
      </c>
      <c r="F61" s="190">
        <v>0.05</v>
      </c>
      <c r="G61" s="210"/>
      <c r="H61" s="98"/>
      <c r="I61" s="17"/>
      <c r="J61" s="41"/>
      <c r="K61" s="87"/>
    </row>
    <row r="62" spans="2:14" s="2" customFormat="1" x14ac:dyDescent="0.25">
      <c r="B62" s="3"/>
      <c r="C62" s="2">
        <v>42</v>
      </c>
      <c r="D62" s="26" t="s">
        <v>30</v>
      </c>
      <c r="E62" s="22">
        <v>0.01</v>
      </c>
      <c r="F62" s="190">
        <v>0.01</v>
      </c>
      <c r="G62" s="210"/>
      <c r="H62" s="98"/>
      <c r="I62" s="17"/>
      <c r="J62" s="41"/>
      <c r="K62" s="87"/>
    </row>
    <row r="63" spans="2:14" s="2" customFormat="1" x14ac:dyDescent="0.25">
      <c r="B63" s="3"/>
      <c r="C63" s="2">
        <v>43</v>
      </c>
      <c r="D63" s="26" t="s">
        <v>33</v>
      </c>
      <c r="E63" s="22">
        <v>0.02</v>
      </c>
      <c r="F63" s="190">
        <v>0.02</v>
      </c>
      <c r="G63" s="210"/>
      <c r="H63" s="98"/>
      <c r="I63" s="17"/>
      <c r="J63" s="41"/>
      <c r="K63" s="87"/>
    </row>
    <row r="64" spans="2:14" s="2" customFormat="1" x14ac:dyDescent="0.25">
      <c r="B64" s="3"/>
      <c r="C64" s="2">
        <v>44</v>
      </c>
      <c r="D64" s="26" t="s">
        <v>34</v>
      </c>
      <c r="E64" s="22">
        <v>0.02</v>
      </c>
      <c r="F64" s="190">
        <v>0.02</v>
      </c>
      <c r="G64" s="210"/>
      <c r="H64" s="98"/>
      <c r="I64" s="17"/>
      <c r="J64" s="41"/>
      <c r="K64" s="87"/>
    </row>
    <row r="65" spans="2:17" s="2" customFormat="1" x14ac:dyDescent="0.25">
      <c r="B65" s="3"/>
      <c r="C65" s="2">
        <v>45</v>
      </c>
      <c r="D65" s="26" t="s">
        <v>35</v>
      </c>
      <c r="E65" s="22">
        <v>0.01</v>
      </c>
      <c r="F65" s="190">
        <v>0.01</v>
      </c>
      <c r="G65" s="210"/>
      <c r="H65" s="98"/>
      <c r="I65" s="17"/>
      <c r="J65" s="41"/>
      <c r="K65" s="87"/>
    </row>
    <row r="66" spans="2:17" s="2" customFormat="1" x14ac:dyDescent="0.25">
      <c r="B66" s="3"/>
      <c r="C66" s="2">
        <v>46</v>
      </c>
      <c r="D66" s="26" t="s">
        <v>31</v>
      </c>
      <c r="E66" s="22">
        <v>0.02</v>
      </c>
      <c r="F66" s="190">
        <v>0.02</v>
      </c>
      <c r="G66" s="210"/>
      <c r="H66" s="98"/>
      <c r="I66" s="17"/>
      <c r="J66" s="41"/>
      <c r="K66" s="87"/>
    </row>
    <row r="67" spans="2:17" s="2" customFormat="1" x14ac:dyDescent="0.25">
      <c r="B67" s="3"/>
      <c r="C67" s="2">
        <v>47</v>
      </c>
      <c r="D67" s="26" t="s">
        <v>36</v>
      </c>
      <c r="E67" s="22">
        <v>0.02</v>
      </c>
      <c r="F67" s="190">
        <v>0.02</v>
      </c>
      <c r="G67" s="210"/>
      <c r="H67" s="98"/>
      <c r="I67" s="17"/>
      <c r="J67" s="41"/>
      <c r="K67" s="87"/>
    </row>
    <row r="68" spans="2:17" s="2" customFormat="1" x14ac:dyDescent="0.25">
      <c r="B68" s="8" t="s">
        <v>114</v>
      </c>
      <c r="C68" s="2">
        <v>48</v>
      </c>
      <c r="D68" s="26" t="s">
        <v>115</v>
      </c>
      <c r="E68" s="22">
        <v>0.15</v>
      </c>
      <c r="F68" s="190">
        <v>0.15</v>
      </c>
      <c r="G68" s="210"/>
      <c r="H68" s="112"/>
      <c r="I68" s="17"/>
      <c r="J68" s="40"/>
      <c r="K68" s="87"/>
    </row>
    <row r="69" spans="2:17" s="2" customFormat="1" ht="15" x14ac:dyDescent="0.25">
      <c r="B69" s="3"/>
      <c r="C69" s="2">
        <v>49</v>
      </c>
      <c r="D69" s="50" t="s">
        <v>49</v>
      </c>
      <c r="E69" s="51">
        <f>SUM(E56:E68)</f>
        <v>0.68</v>
      </c>
      <c r="F69" s="149">
        <f>SUM(F56:F68)</f>
        <v>0.68</v>
      </c>
      <c r="G69" s="207" t="s">
        <v>83</v>
      </c>
      <c r="H69" s="166" t="s">
        <v>94</v>
      </c>
      <c r="I69" s="53">
        <f>ROUND(F69*I49,2)</f>
        <v>49.64</v>
      </c>
      <c r="J69" s="52"/>
      <c r="K69" s="167">
        <f>ROUND(F69*K49,2)</f>
        <v>58.86</v>
      </c>
    </row>
    <row r="70" spans="2:17" s="2" customFormat="1" ht="5.25" customHeight="1" x14ac:dyDescent="0.25">
      <c r="B70" s="3"/>
      <c r="D70" s="16"/>
      <c r="E70" s="42"/>
      <c r="F70" s="42"/>
      <c r="G70" s="208"/>
      <c r="H70" s="98"/>
      <c r="I70" s="54"/>
      <c r="J70" s="9"/>
      <c r="K70" s="87"/>
    </row>
    <row r="71" spans="2:17" s="2" customFormat="1" ht="15" x14ac:dyDescent="0.25">
      <c r="B71" s="55" t="s">
        <v>39</v>
      </c>
      <c r="C71" s="7"/>
      <c r="D71" s="7" t="s">
        <v>0</v>
      </c>
      <c r="E71" s="178"/>
      <c r="F71" s="178"/>
      <c r="G71" s="209"/>
      <c r="H71" s="98"/>
      <c r="I71" s="97" t="s">
        <v>0</v>
      </c>
      <c r="J71" s="9"/>
      <c r="K71" s="93" t="s">
        <v>0</v>
      </c>
    </row>
    <row r="72" spans="2:17" s="2" customFormat="1" x14ac:dyDescent="0.25">
      <c r="B72" s="169"/>
      <c r="C72" s="16">
        <v>50</v>
      </c>
      <c r="D72" s="16" t="s">
        <v>37</v>
      </c>
      <c r="E72" s="42">
        <v>0.05</v>
      </c>
      <c r="F72" s="191">
        <v>0.05</v>
      </c>
      <c r="G72" s="208"/>
      <c r="H72" s="179"/>
      <c r="I72" s="18"/>
      <c r="J72" s="180"/>
      <c r="K72" s="146"/>
    </row>
    <row r="73" spans="2:17" s="2" customFormat="1" x14ac:dyDescent="0.25">
      <c r="B73" s="3"/>
      <c r="C73" s="2">
        <v>51</v>
      </c>
      <c r="D73" s="26" t="s">
        <v>113</v>
      </c>
      <c r="E73" s="22">
        <v>0.05</v>
      </c>
      <c r="F73" s="190">
        <v>0.05</v>
      </c>
      <c r="G73" s="210"/>
      <c r="H73" s="98"/>
      <c r="I73" s="17"/>
      <c r="J73" s="41"/>
      <c r="K73" s="87"/>
      <c r="Q73" s="2" t="s">
        <v>0</v>
      </c>
    </row>
    <row r="74" spans="2:17" s="2" customFormat="1" x14ac:dyDescent="0.25">
      <c r="B74" s="3"/>
      <c r="C74" s="2">
        <v>52</v>
      </c>
      <c r="D74" s="26" t="s">
        <v>38</v>
      </c>
      <c r="E74" s="22">
        <v>0.04</v>
      </c>
      <c r="F74" s="190">
        <v>0.04</v>
      </c>
      <c r="G74" s="210"/>
      <c r="H74" s="98"/>
      <c r="I74" s="17"/>
      <c r="J74" s="41"/>
      <c r="K74" s="87"/>
    </row>
    <row r="75" spans="2:17" s="2" customFormat="1" ht="5.25" customHeight="1" x14ac:dyDescent="0.25">
      <c r="B75" s="3"/>
      <c r="D75" s="29"/>
      <c r="E75" s="137"/>
      <c r="F75" s="150"/>
      <c r="G75" s="194"/>
      <c r="H75" s="98"/>
      <c r="I75" s="17"/>
      <c r="J75" s="41"/>
      <c r="K75" s="87"/>
    </row>
    <row r="76" spans="2:17" s="2" customFormat="1" ht="15" x14ac:dyDescent="0.25">
      <c r="B76" s="3"/>
      <c r="C76" s="2">
        <v>53</v>
      </c>
      <c r="D76" s="140" t="s">
        <v>50</v>
      </c>
      <c r="E76" s="141">
        <f>SUM(E72:E75)</f>
        <v>0.14000000000000001</v>
      </c>
      <c r="F76" s="151">
        <f>SUM(F72:F75)</f>
        <v>0.14000000000000001</v>
      </c>
      <c r="G76" s="211" t="s">
        <v>84</v>
      </c>
      <c r="H76" s="142" t="s">
        <v>94</v>
      </c>
      <c r="I76" s="143">
        <f>ROUND(F76*I49,2)</f>
        <v>10.220000000000001</v>
      </c>
      <c r="J76" s="144"/>
      <c r="K76" s="145">
        <f>ROUND(F76*K49,2)</f>
        <v>12.12</v>
      </c>
    </row>
    <row r="77" spans="2:17" s="2" customFormat="1" ht="6.75" customHeight="1" x14ac:dyDescent="0.25">
      <c r="B77" s="3"/>
      <c r="D77" s="29"/>
      <c r="E77" s="137"/>
      <c r="F77" s="150"/>
      <c r="G77" s="194"/>
      <c r="H77" s="138"/>
      <c r="I77" s="129"/>
      <c r="J77" s="139"/>
      <c r="K77" s="130"/>
    </row>
    <row r="78" spans="2:17" s="2" customFormat="1" ht="15" x14ac:dyDescent="0.25">
      <c r="B78" s="3"/>
      <c r="C78" s="2">
        <v>54</v>
      </c>
      <c r="D78" s="140" t="s">
        <v>51</v>
      </c>
      <c r="E78" s="141">
        <f>E76+E69</f>
        <v>0.82</v>
      </c>
      <c r="F78" s="151">
        <f>F76+F69</f>
        <v>0.82</v>
      </c>
      <c r="G78" s="211" t="s">
        <v>85</v>
      </c>
      <c r="H78" s="142" t="s">
        <v>94</v>
      </c>
      <c r="I78" s="143">
        <f>ROUND(F78*I49,2)</f>
        <v>59.86</v>
      </c>
      <c r="J78" s="144"/>
      <c r="K78" s="145">
        <f>ROUND(F78*K49,2)</f>
        <v>70.98</v>
      </c>
    </row>
    <row r="79" spans="2:17" s="2" customFormat="1" ht="9" customHeight="1" x14ac:dyDescent="0.25">
      <c r="B79" s="3"/>
      <c r="F79" s="4"/>
      <c r="G79" s="192"/>
      <c r="H79" s="88"/>
      <c r="I79" s="54"/>
      <c r="J79" s="4"/>
      <c r="K79" s="87"/>
    </row>
    <row r="80" spans="2:17" s="80" customFormat="1" ht="16.5" customHeight="1" x14ac:dyDescent="0.25">
      <c r="B80" s="75" t="s">
        <v>99</v>
      </c>
      <c r="C80" s="76"/>
      <c r="D80" s="77"/>
      <c r="E80" s="76"/>
      <c r="F80" s="165"/>
      <c r="G80" s="212" t="s">
        <v>86</v>
      </c>
      <c r="H80" s="99" t="s">
        <v>94</v>
      </c>
      <c r="I80" s="78">
        <f>ROUND(I49+I78,2)</f>
        <v>132.86000000000001</v>
      </c>
      <c r="J80" s="79"/>
      <c r="K80" s="100">
        <f>ROUND(K49+K78,2)</f>
        <v>157.54</v>
      </c>
    </row>
    <row r="81" spans="2:11" s="2" customFormat="1" ht="5.25" customHeight="1" x14ac:dyDescent="0.25">
      <c r="B81" s="3"/>
      <c r="F81" s="4"/>
      <c r="G81" s="192"/>
      <c r="H81" s="88"/>
      <c r="I81" s="54"/>
      <c r="J81" s="4"/>
      <c r="K81" s="87"/>
    </row>
    <row r="82" spans="2:11" s="2" customFormat="1" ht="15" x14ac:dyDescent="0.25">
      <c r="B82" s="181" t="s">
        <v>58</v>
      </c>
      <c r="C82" s="184"/>
      <c r="D82" s="183"/>
      <c r="E82" s="184"/>
      <c r="F82" s="185"/>
      <c r="G82" s="206" t="s">
        <v>88</v>
      </c>
      <c r="H82" s="103" t="s">
        <v>94</v>
      </c>
      <c r="I82" s="104">
        <f>ROUND(I80*I48,2)</f>
        <v>13614.16</v>
      </c>
      <c r="J82" s="217"/>
      <c r="K82" s="106">
        <f>ROUND(K80*K48,2)</f>
        <v>16143.12</v>
      </c>
    </row>
    <row r="83" spans="2:11" s="2" customFormat="1" ht="5.25" customHeight="1" x14ac:dyDescent="0.25">
      <c r="B83" s="3"/>
      <c r="F83" s="4"/>
      <c r="G83" s="192"/>
      <c r="H83" s="88"/>
      <c r="I83" s="54"/>
      <c r="J83" s="218"/>
      <c r="K83" s="87"/>
    </row>
    <row r="84" spans="2:11" s="2" customFormat="1" ht="15.75" thickBot="1" x14ac:dyDescent="0.3">
      <c r="B84" s="23" t="s">
        <v>59</v>
      </c>
      <c r="C84" s="24"/>
      <c r="D84" s="25"/>
      <c r="E84" s="24"/>
      <c r="F84" s="156"/>
      <c r="G84" s="213" t="s">
        <v>87</v>
      </c>
      <c r="H84" s="101" t="s">
        <v>94</v>
      </c>
      <c r="I84" s="94">
        <f>ROUND(I80*I47,2)</f>
        <v>163364.66</v>
      </c>
      <c r="J84" s="219"/>
      <c r="K84" s="95">
        <f>ROUND(K80*K47,2)</f>
        <v>193711.18</v>
      </c>
    </row>
    <row r="85" spans="2:11" x14ac:dyDescent="0.2">
      <c r="B85" s="221"/>
    </row>
    <row r="86" spans="2:11" ht="3.75" customHeight="1" x14ac:dyDescent="0.2"/>
    <row r="87" spans="2:11" x14ac:dyDescent="0.2">
      <c r="B87" s="214" t="s">
        <v>138</v>
      </c>
      <c r="D87" s="214" t="s">
        <v>139</v>
      </c>
      <c r="E87" s="31" t="s">
        <v>89</v>
      </c>
      <c r="F87" s="70"/>
      <c r="G87" s="31" t="s">
        <v>125</v>
      </c>
    </row>
    <row r="88" spans="2:11" ht="3" customHeight="1" x14ac:dyDescent="0.2">
      <c r="E88" s="31"/>
    </row>
    <row r="89" spans="2:11" ht="36.75" customHeight="1" x14ac:dyDescent="0.2">
      <c r="B89" s="227" t="s">
        <v>150</v>
      </c>
      <c r="C89" s="227"/>
      <c r="D89" s="227"/>
      <c r="E89" s="227"/>
      <c r="F89" s="227"/>
      <c r="G89" s="227"/>
      <c r="H89" s="227"/>
      <c r="I89" s="227"/>
      <c r="J89" s="227"/>
      <c r="K89" s="227"/>
    </row>
  </sheetData>
  <mergeCells count="5">
    <mergeCell ref="B3:D3"/>
    <mergeCell ref="F3:K3"/>
    <mergeCell ref="H5:I5"/>
    <mergeCell ref="J5:K5"/>
    <mergeCell ref="B89:K89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B1:Q89"/>
  <sheetViews>
    <sheetView showGridLines="0" view="pageBreakPreview" topLeftCell="A57" zoomScale="112" zoomScaleNormal="85" zoomScaleSheetLayoutView="112" zoomScalePageLayoutView="70" workbookViewId="0">
      <selection activeCell="F31" sqref="F31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1" customWidth="1"/>
    <col min="8" max="8" width="5.42578125" style="31" customWidth="1"/>
    <col min="9" max="9" width="13.7109375" style="1" customWidth="1"/>
    <col min="10" max="10" width="5.42578125" style="31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1" t="s">
        <v>118</v>
      </c>
      <c r="C2" s="12"/>
      <c r="D2" s="13"/>
      <c r="E2" s="13"/>
      <c r="F2" s="13"/>
      <c r="G2" s="32"/>
      <c r="H2" s="32"/>
      <c r="I2" s="13"/>
      <c r="J2" s="32"/>
      <c r="K2" s="14"/>
    </row>
    <row r="3" spans="2:11" ht="87" customHeight="1" x14ac:dyDescent="0.2">
      <c r="B3" s="222" t="s">
        <v>119</v>
      </c>
      <c r="C3" s="223"/>
      <c r="D3" s="223"/>
      <c r="E3" s="69" t="s">
        <v>128</v>
      </c>
      <c r="F3" s="224" t="s">
        <v>144</v>
      </c>
      <c r="G3" s="225"/>
      <c r="H3" s="225"/>
      <c r="I3" s="225"/>
      <c r="J3" s="225"/>
      <c r="K3" s="226"/>
    </row>
    <row r="4" spans="2:11" ht="7.5" customHeight="1" thickBot="1" x14ac:dyDescent="0.25">
      <c r="B4" s="65"/>
      <c r="C4" s="66"/>
      <c r="D4" s="66"/>
      <c r="E4" s="67"/>
      <c r="F4" s="67"/>
      <c r="G4" s="67"/>
      <c r="H4" s="67"/>
      <c r="I4" s="67"/>
      <c r="J4" s="67"/>
      <c r="K4" s="68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230" t="s">
        <v>145</v>
      </c>
      <c r="I5" s="231"/>
      <c r="J5" s="228" t="s">
        <v>146</v>
      </c>
      <c r="K5" s="229"/>
    </row>
    <row r="6" spans="2:11" s="2" customFormat="1" ht="15" customHeight="1" x14ac:dyDescent="0.25">
      <c r="B6" s="3"/>
      <c r="F6" s="160" t="s">
        <v>64</v>
      </c>
      <c r="G6" s="192" t="s">
        <v>100</v>
      </c>
      <c r="H6" s="84"/>
      <c r="I6" s="64" t="s">
        <v>66</v>
      </c>
      <c r="J6" s="33"/>
      <c r="K6" s="85" t="s">
        <v>65</v>
      </c>
    </row>
    <row r="7" spans="2:11" s="2" customFormat="1" ht="15" x14ac:dyDescent="0.25">
      <c r="B7" s="55" t="s">
        <v>40</v>
      </c>
      <c r="C7" s="4">
        <v>1</v>
      </c>
      <c r="D7" s="2" t="s">
        <v>52</v>
      </c>
      <c r="F7" s="161"/>
      <c r="G7" s="195"/>
      <c r="H7" s="86" t="s">
        <v>94</v>
      </c>
      <c r="I7" s="18">
        <v>2855</v>
      </c>
      <c r="J7" s="34" t="s">
        <v>94</v>
      </c>
      <c r="K7" s="146">
        <v>3633</v>
      </c>
    </row>
    <row r="8" spans="2:11" s="2" customFormat="1" ht="15" x14ac:dyDescent="0.25">
      <c r="B8" s="55" t="s">
        <v>0</v>
      </c>
      <c r="C8" s="4">
        <v>2</v>
      </c>
      <c r="D8" s="168" t="s">
        <v>53</v>
      </c>
      <c r="E8" s="168"/>
      <c r="F8" s="186">
        <v>0.3</v>
      </c>
      <c r="G8" s="194" t="s">
        <v>101</v>
      </c>
      <c r="H8" s="138" t="s">
        <v>94</v>
      </c>
      <c r="I8" s="123">
        <f>ROUND(I7*(1+F8),2)</f>
        <v>3711.5</v>
      </c>
      <c r="J8" s="139" t="s">
        <v>94</v>
      </c>
      <c r="K8" s="125">
        <f>ROUND(K7*(1+F8),2)</f>
        <v>4722.8999999999996</v>
      </c>
    </row>
    <row r="9" spans="2:11" s="2" customFormat="1" x14ac:dyDescent="0.25">
      <c r="B9" s="169"/>
      <c r="C9" s="36">
        <v>3</v>
      </c>
      <c r="D9" s="16" t="s">
        <v>5</v>
      </c>
      <c r="E9" s="16"/>
      <c r="F9" s="161">
        <v>4.33</v>
      </c>
      <c r="G9" s="195" t="s">
        <v>67</v>
      </c>
      <c r="H9" s="86" t="s">
        <v>94</v>
      </c>
      <c r="I9" s="18">
        <f>ROUND(I8/F9,2)</f>
        <v>857.16</v>
      </c>
      <c r="J9" s="34" t="s">
        <v>94</v>
      </c>
      <c r="K9" s="146">
        <f>ROUND(K8/F9,2)</f>
        <v>1090.74</v>
      </c>
    </row>
    <row r="10" spans="2:11" s="2" customFormat="1" x14ac:dyDescent="0.25">
      <c r="B10" s="3" t="s">
        <v>0</v>
      </c>
      <c r="C10" s="4">
        <v>4</v>
      </c>
      <c r="D10" s="26" t="s">
        <v>96</v>
      </c>
      <c r="E10" s="26"/>
      <c r="F10" s="158">
        <v>40</v>
      </c>
      <c r="G10" s="196" t="s">
        <v>68</v>
      </c>
      <c r="H10" s="90" t="s">
        <v>94</v>
      </c>
      <c r="I10" s="72">
        <f>ROUND(I9/F10,2)</f>
        <v>21.43</v>
      </c>
      <c r="J10" s="71" t="s">
        <v>94</v>
      </c>
      <c r="K10" s="91">
        <f>ROUND(K9/F10,2)</f>
        <v>27.27</v>
      </c>
    </row>
    <row r="11" spans="2:11" s="2" customFormat="1" x14ac:dyDescent="0.25">
      <c r="B11" s="3" t="s">
        <v>0</v>
      </c>
      <c r="C11" s="4">
        <v>5</v>
      </c>
      <c r="D11" s="26"/>
      <c r="E11" s="26"/>
      <c r="F11" s="158"/>
      <c r="G11" s="196"/>
      <c r="H11" s="90"/>
      <c r="I11" s="72"/>
      <c r="J11" s="71"/>
      <c r="K11" s="91"/>
    </row>
    <row r="12" spans="2:11" s="2" customFormat="1" x14ac:dyDescent="0.25">
      <c r="B12" s="3" t="s">
        <v>0</v>
      </c>
      <c r="C12" s="4">
        <v>6</v>
      </c>
      <c r="D12" s="26" t="s">
        <v>1</v>
      </c>
      <c r="E12" s="26"/>
      <c r="F12" s="162">
        <v>0.21829999999999999</v>
      </c>
      <c r="G12" s="197" t="s">
        <v>69</v>
      </c>
      <c r="H12" s="90" t="s">
        <v>94</v>
      </c>
      <c r="I12" s="72">
        <f>ROUND($I$8*F12,2)</f>
        <v>810.22</v>
      </c>
      <c r="J12" s="71" t="s">
        <v>94</v>
      </c>
      <c r="K12" s="91">
        <f>ROUND($K$8*F12,2)</f>
        <v>1031.01</v>
      </c>
    </row>
    <row r="13" spans="2:11" s="2" customFormat="1" x14ac:dyDescent="0.25">
      <c r="B13" s="3" t="s">
        <v>0</v>
      </c>
      <c r="C13" s="4">
        <v>7</v>
      </c>
      <c r="D13" s="26" t="s">
        <v>2</v>
      </c>
      <c r="E13" s="26"/>
      <c r="F13" s="162">
        <v>4.4999999999999998E-2</v>
      </c>
      <c r="G13" s="197" t="s">
        <v>70</v>
      </c>
      <c r="H13" s="90" t="s">
        <v>94</v>
      </c>
      <c r="I13" s="72">
        <f>ROUND($I$8*F13,2)</f>
        <v>167.02</v>
      </c>
      <c r="J13" s="71" t="s">
        <v>94</v>
      </c>
      <c r="K13" s="91">
        <f>ROUND($K$8*F13,2)</f>
        <v>212.53</v>
      </c>
    </row>
    <row r="14" spans="2:11" s="2" customFormat="1" x14ac:dyDescent="0.25">
      <c r="B14" s="3"/>
      <c r="C14" s="4">
        <v>8</v>
      </c>
      <c r="D14" s="26" t="s">
        <v>3</v>
      </c>
      <c r="E14" s="26"/>
      <c r="F14" s="162">
        <v>0.03</v>
      </c>
      <c r="G14" s="197" t="s">
        <v>71</v>
      </c>
      <c r="H14" s="90" t="s">
        <v>94</v>
      </c>
      <c r="I14" s="72">
        <f>ROUND($I$8*F14,2)</f>
        <v>111.35</v>
      </c>
      <c r="J14" s="71" t="s">
        <v>94</v>
      </c>
      <c r="K14" s="91">
        <f>ROUND($K$8*F14,2)</f>
        <v>141.69</v>
      </c>
    </row>
    <row r="15" spans="2:11" s="2" customFormat="1" x14ac:dyDescent="0.25">
      <c r="B15" s="3"/>
      <c r="C15" s="4">
        <v>9</v>
      </c>
      <c r="D15" s="26" t="s">
        <v>4</v>
      </c>
      <c r="E15" s="26"/>
      <c r="F15" s="162">
        <v>1.5299999999999999E-2</v>
      </c>
      <c r="G15" s="197" t="s">
        <v>72</v>
      </c>
      <c r="H15" s="90" t="s">
        <v>94</v>
      </c>
      <c r="I15" s="72">
        <f>ROUND($I$8*F15,2)</f>
        <v>56.79</v>
      </c>
      <c r="J15" s="71" t="s">
        <v>94</v>
      </c>
      <c r="K15" s="91">
        <f>ROUND($K$8*F15,2)</f>
        <v>72.260000000000005</v>
      </c>
    </row>
    <row r="16" spans="2:11" s="2" customFormat="1" x14ac:dyDescent="0.25">
      <c r="B16" s="3"/>
      <c r="C16" s="4">
        <v>10</v>
      </c>
      <c r="D16" s="29" t="s">
        <v>90</v>
      </c>
      <c r="E16" s="29"/>
      <c r="F16" s="170">
        <f>SUM(F12:F15)</f>
        <v>0.30859999999999999</v>
      </c>
      <c r="G16" s="198" t="s">
        <v>73</v>
      </c>
      <c r="H16" s="122" t="s">
        <v>94</v>
      </c>
      <c r="I16" s="129">
        <f>ROUND($I$8*F16,2)</f>
        <v>1145.3699999999999</v>
      </c>
      <c r="J16" s="124" t="s">
        <v>94</v>
      </c>
      <c r="K16" s="130">
        <f>ROUND($K$8*F16,2)</f>
        <v>1457.49</v>
      </c>
    </row>
    <row r="17" spans="2:11" s="2" customFormat="1" x14ac:dyDescent="0.25">
      <c r="B17" s="169" t="s">
        <v>54</v>
      </c>
      <c r="C17" s="16"/>
      <c r="D17" s="171" t="s">
        <v>92</v>
      </c>
      <c r="E17" s="172"/>
      <c r="F17" s="173"/>
      <c r="G17" s="199"/>
      <c r="H17" s="174"/>
      <c r="I17" s="175"/>
      <c r="J17" s="176"/>
      <c r="K17" s="177"/>
    </row>
    <row r="18" spans="2:11" s="2" customFormat="1" x14ac:dyDescent="0.25">
      <c r="B18" s="21" t="s">
        <v>55</v>
      </c>
      <c r="C18" s="4">
        <v>11</v>
      </c>
      <c r="D18" s="26" t="s">
        <v>90</v>
      </c>
      <c r="E18" s="26"/>
      <c r="F18" s="162">
        <f>F16-0.94%</f>
        <v>0.29920000000000002</v>
      </c>
      <c r="G18" s="197" t="s">
        <v>74</v>
      </c>
      <c r="H18" s="90" t="s">
        <v>94</v>
      </c>
      <c r="I18" s="72">
        <f>ROUND($I$8*F18,2)</f>
        <v>1110.48</v>
      </c>
      <c r="J18" s="71" t="s">
        <v>94</v>
      </c>
      <c r="K18" s="91">
        <f>ROUND($K$8*F18,2)</f>
        <v>1413.09</v>
      </c>
    </row>
    <row r="19" spans="2:11" s="2" customFormat="1" ht="6" customHeight="1" x14ac:dyDescent="0.25">
      <c r="B19" s="3"/>
      <c r="F19" s="163"/>
      <c r="G19" s="200"/>
      <c r="H19" s="89"/>
      <c r="I19" s="17"/>
      <c r="J19" s="37"/>
      <c r="K19" s="87"/>
    </row>
    <row r="20" spans="2:11" s="2" customFormat="1" ht="15.75" thickBot="1" x14ac:dyDescent="0.3">
      <c r="B20" s="45" t="s">
        <v>0</v>
      </c>
      <c r="C20" s="46">
        <v>12</v>
      </c>
      <c r="D20" s="47" t="s">
        <v>56</v>
      </c>
      <c r="E20" s="6"/>
      <c r="F20" s="164"/>
      <c r="G20" s="201" t="s">
        <v>75</v>
      </c>
      <c r="H20" s="118" t="s">
        <v>94</v>
      </c>
      <c r="I20" s="49">
        <f>ROUND((I8+I18)*2,2)</f>
        <v>9643.9599999999991</v>
      </c>
      <c r="J20" s="48" t="s">
        <v>94</v>
      </c>
      <c r="K20" s="119">
        <f>ROUND((K8+K18)*2,2)</f>
        <v>12271.98</v>
      </c>
    </row>
    <row r="21" spans="2:11" s="2" customFormat="1" ht="12.75" customHeight="1" thickBot="1" x14ac:dyDescent="0.3">
      <c r="B21" s="3"/>
      <c r="D21" s="43"/>
      <c r="E21" s="43"/>
      <c r="F21" s="44"/>
      <c r="G21" s="202"/>
      <c r="H21" s="88"/>
      <c r="I21" s="54"/>
      <c r="J21" s="4"/>
      <c r="K21" s="147"/>
    </row>
    <row r="22" spans="2:11" s="2" customFormat="1" ht="18" customHeight="1" x14ac:dyDescent="0.25">
      <c r="B22" s="58" t="s">
        <v>6</v>
      </c>
      <c r="C22" s="59">
        <v>13</v>
      </c>
      <c r="D22" s="60" t="s">
        <v>97</v>
      </c>
      <c r="E22" s="61"/>
      <c r="F22" s="157"/>
      <c r="G22" s="203" t="s">
        <v>104</v>
      </c>
      <c r="H22" s="120"/>
      <c r="I22" s="63">
        <f>ROUND(((I8+I16)*12+I20)/12,2)</f>
        <v>5660.53</v>
      </c>
      <c r="J22" s="62"/>
      <c r="K22" s="121">
        <f>ROUND(((K8+K16)*12+K20)/12,2)</f>
        <v>7203.06</v>
      </c>
    </row>
    <row r="23" spans="2:11" s="2" customFormat="1" ht="6" customHeight="1" x14ac:dyDescent="0.25">
      <c r="B23" s="3"/>
      <c r="C23" s="4"/>
      <c r="F23" s="155"/>
      <c r="G23" s="192"/>
      <c r="H23" s="88"/>
      <c r="I23" s="17"/>
      <c r="J23" s="35"/>
      <c r="K23" s="87"/>
    </row>
    <row r="24" spans="2:11" s="2" customFormat="1" x14ac:dyDescent="0.25">
      <c r="B24" s="3" t="s">
        <v>8</v>
      </c>
      <c r="C24" s="4">
        <v>14</v>
      </c>
      <c r="D24" s="2" t="s">
        <v>9</v>
      </c>
      <c r="F24" s="155">
        <v>365</v>
      </c>
      <c r="G24" s="192"/>
      <c r="H24" s="88"/>
      <c r="I24" s="17">
        <v>365</v>
      </c>
      <c r="J24" s="35"/>
      <c r="K24" s="87">
        <v>365</v>
      </c>
    </row>
    <row r="25" spans="2:11" s="2" customFormat="1" x14ac:dyDescent="0.25">
      <c r="B25" s="3"/>
      <c r="C25" s="4">
        <v>15</v>
      </c>
      <c r="D25" s="26" t="s">
        <v>10</v>
      </c>
      <c r="E25" s="26"/>
      <c r="F25" s="158">
        <v>52</v>
      </c>
      <c r="G25" s="196" t="s">
        <v>76</v>
      </c>
      <c r="H25" s="90"/>
      <c r="I25" s="72">
        <f>ROUND(F25*2,2)</f>
        <v>104</v>
      </c>
      <c r="J25" s="71"/>
      <c r="K25" s="91">
        <f>ROUND(F25*2,2)</f>
        <v>104</v>
      </c>
    </row>
    <row r="26" spans="2:11" s="2" customFormat="1" x14ac:dyDescent="0.25">
      <c r="B26" s="3"/>
      <c r="C26" s="4">
        <v>16</v>
      </c>
      <c r="D26" s="26" t="s">
        <v>134</v>
      </c>
      <c r="E26" s="26"/>
      <c r="F26" s="187">
        <v>14</v>
      </c>
      <c r="G26" s="196"/>
      <c r="H26" s="90"/>
      <c r="I26" s="72">
        <f>F26</f>
        <v>14</v>
      </c>
      <c r="J26" s="71"/>
      <c r="K26" s="91">
        <f>F26</f>
        <v>14</v>
      </c>
    </row>
    <row r="27" spans="2:11" s="2" customFormat="1" ht="15" x14ac:dyDescent="0.25">
      <c r="B27" s="3"/>
      <c r="C27" s="4">
        <v>17</v>
      </c>
      <c r="D27" s="27" t="s">
        <v>11</v>
      </c>
      <c r="E27" s="27"/>
      <c r="F27" s="159"/>
      <c r="G27" s="196" t="s">
        <v>102</v>
      </c>
      <c r="H27" s="90"/>
      <c r="I27" s="73">
        <f>ROUND(I24-I25-I26,2)</f>
        <v>247</v>
      </c>
      <c r="J27" s="71"/>
      <c r="K27" s="92">
        <f>ROUND(K24-K25-K26,2)</f>
        <v>247</v>
      </c>
    </row>
    <row r="28" spans="2:11" s="2" customFormat="1" x14ac:dyDescent="0.25">
      <c r="B28" s="3"/>
      <c r="C28" s="4">
        <v>18</v>
      </c>
      <c r="D28" s="26" t="s">
        <v>12</v>
      </c>
      <c r="E28" s="26"/>
      <c r="F28" s="187">
        <v>25</v>
      </c>
      <c r="G28" s="196"/>
      <c r="H28" s="90"/>
      <c r="I28" s="72">
        <f>F28</f>
        <v>25</v>
      </c>
      <c r="J28" s="71"/>
      <c r="K28" s="91">
        <f>F28</f>
        <v>25</v>
      </c>
    </row>
    <row r="29" spans="2:11" s="2" customFormat="1" x14ac:dyDescent="0.25">
      <c r="B29" s="3"/>
      <c r="C29" s="4" t="s">
        <v>131</v>
      </c>
      <c r="D29" s="26" t="s">
        <v>133</v>
      </c>
      <c r="E29" s="26"/>
      <c r="F29" s="158">
        <v>12.3</v>
      </c>
      <c r="G29" s="196"/>
      <c r="H29" s="90"/>
      <c r="I29" s="72">
        <f>F29</f>
        <v>12.3</v>
      </c>
      <c r="J29" s="71"/>
      <c r="K29" s="91">
        <f>F29</f>
        <v>12.3</v>
      </c>
    </row>
    <row r="30" spans="2:11" s="2" customFormat="1" x14ac:dyDescent="0.25">
      <c r="B30" s="3"/>
      <c r="C30" s="4" t="s">
        <v>130</v>
      </c>
      <c r="D30" s="26" t="s">
        <v>132</v>
      </c>
      <c r="E30" s="26"/>
      <c r="F30" s="187">
        <v>0</v>
      </c>
      <c r="G30" s="196"/>
      <c r="H30" s="90"/>
      <c r="I30" s="72">
        <f>F30</f>
        <v>0</v>
      </c>
      <c r="J30" s="71"/>
      <c r="K30" s="91">
        <f>F30</f>
        <v>0</v>
      </c>
    </row>
    <row r="31" spans="2:11" s="2" customFormat="1" ht="15" x14ac:dyDescent="0.25">
      <c r="B31" s="3"/>
      <c r="C31" s="4">
        <v>20</v>
      </c>
      <c r="D31" s="27" t="s">
        <v>13</v>
      </c>
      <c r="E31" s="27"/>
      <c r="F31" s="159"/>
      <c r="G31" s="196" t="s">
        <v>77</v>
      </c>
      <c r="H31" s="90"/>
      <c r="I31" s="73">
        <f>I27-I28-I29-I30</f>
        <v>209.7</v>
      </c>
      <c r="J31" s="71"/>
      <c r="K31" s="92">
        <f>ROUND(K27-K28-K29-K30,2)</f>
        <v>209.7</v>
      </c>
    </row>
    <row r="32" spans="2:11" s="2" customFormat="1" ht="9" customHeight="1" x14ac:dyDescent="0.25">
      <c r="B32" s="3"/>
      <c r="D32" s="29"/>
      <c r="E32" s="29"/>
      <c r="F32" s="153"/>
      <c r="G32" s="198"/>
      <c r="H32" s="122"/>
      <c r="I32" s="129"/>
      <c r="J32" s="124"/>
      <c r="K32" s="130"/>
    </row>
    <row r="33" spans="2:11" s="2" customFormat="1" x14ac:dyDescent="0.25">
      <c r="B33" s="3" t="s">
        <v>14</v>
      </c>
      <c r="C33" s="4">
        <v>21</v>
      </c>
      <c r="D33" s="30" t="s">
        <v>15</v>
      </c>
      <c r="E33" s="30"/>
      <c r="F33" s="188">
        <v>8</v>
      </c>
      <c r="G33" s="204"/>
      <c r="H33" s="131"/>
      <c r="I33" s="132">
        <f>F33</f>
        <v>8</v>
      </c>
      <c r="J33" s="133"/>
      <c r="K33" s="134">
        <f>F33</f>
        <v>8</v>
      </c>
    </row>
    <row r="34" spans="2:11" s="2" customFormat="1" x14ac:dyDescent="0.25">
      <c r="B34" s="3"/>
      <c r="C34" s="4">
        <v>22</v>
      </c>
      <c r="D34" s="26" t="s">
        <v>42</v>
      </c>
      <c r="E34" s="26"/>
      <c r="F34" s="158"/>
      <c r="G34" s="196" t="s">
        <v>78</v>
      </c>
      <c r="H34" s="90"/>
      <c r="I34" s="72">
        <f>ROUND(I31*I33,2)</f>
        <v>1677.6</v>
      </c>
      <c r="J34" s="71"/>
      <c r="K34" s="91">
        <f>ROUND(K31*K33,2)</f>
        <v>1677.6</v>
      </c>
    </row>
    <row r="35" spans="2:11" s="2" customFormat="1" ht="15.75" thickBot="1" x14ac:dyDescent="0.3">
      <c r="B35" s="3"/>
      <c r="C35" s="4">
        <v>23</v>
      </c>
      <c r="D35" s="26" t="s">
        <v>43</v>
      </c>
      <c r="E35" s="29"/>
      <c r="F35" s="153"/>
      <c r="G35" s="198" t="s">
        <v>79</v>
      </c>
      <c r="H35" s="122"/>
      <c r="I35" s="123">
        <f>ROUND(I34/12,2)</f>
        <v>139.80000000000001</v>
      </c>
      <c r="J35" s="124"/>
      <c r="K35" s="125">
        <f>ROUND(K31/K24*30.4167*8,2)</f>
        <v>139.80000000000001</v>
      </c>
    </row>
    <row r="36" spans="2:11" s="2" customFormat="1" ht="12.75" customHeight="1" thickBot="1" x14ac:dyDescent="0.3">
      <c r="B36" s="3"/>
      <c r="C36" s="4"/>
      <c r="D36" s="29"/>
      <c r="E36" s="10" t="s">
        <v>93</v>
      </c>
      <c r="F36" s="148" t="s">
        <v>62</v>
      </c>
      <c r="G36" s="205"/>
      <c r="H36" s="126"/>
      <c r="I36" s="116"/>
      <c r="J36" s="127"/>
      <c r="K36" s="117"/>
    </row>
    <row r="37" spans="2:11" s="2" customFormat="1" x14ac:dyDescent="0.25">
      <c r="B37" s="3" t="s">
        <v>16</v>
      </c>
      <c r="C37" s="4">
        <v>24</v>
      </c>
      <c r="D37" s="30" t="s">
        <v>63</v>
      </c>
      <c r="E37" s="128">
        <v>12</v>
      </c>
      <c r="F37" s="188">
        <v>12</v>
      </c>
      <c r="G37" s="197" t="s">
        <v>105</v>
      </c>
      <c r="H37" s="90"/>
      <c r="I37" s="72">
        <f t="shared" ref="I37:I43" si="0">ROUND(F37*$I$33,2)</f>
        <v>96</v>
      </c>
      <c r="J37" s="71"/>
      <c r="K37" s="91">
        <f t="shared" ref="K37:K43" si="1">ROUND(F37*$K$33,2)</f>
        <v>96</v>
      </c>
    </row>
    <row r="38" spans="2:11" s="2" customFormat="1" x14ac:dyDescent="0.25">
      <c r="B38" s="15" t="s">
        <v>41</v>
      </c>
      <c r="C38" s="4">
        <v>25</v>
      </c>
      <c r="D38" s="26" t="s">
        <v>17</v>
      </c>
      <c r="E38" s="28">
        <v>2</v>
      </c>
      <c r="F38" s="187">
        <v>2</v>
      </c>
      <c r="G38" s="197" t="s">
        <v>106</v>
      </c>
      <c r="H38" s="90"/>
      <c r="I38" s="72">
        <f t="shared" si="0"/>
        <v>16</v>
      </c>
      <c r="J38" s="71"/>
      <c r="K38" s="91">
        <f t="shared" si="1"/>
        <v>16</v>
      </c>
    </row>
    <row r="39" spans="2:11" s="2" customFormat="1" x14ac:dyDescent="0.25">
      <c r="B39" s="3"/>
      <c r="C39" s="4">
        <v>26</v>
      </c>
      <c r="D39" s="26" t="s">
        <v>18</v>
      </c>
      <c r="E39" s="28">
        <v>2</v>
      </c>
      <c r="F39" s="187">
        <v>2</v>
      </c>
      <c r="G39" s="197" t="s">
        <v>107</v>
      </c>
      <c r="H39" s="90"/>
      <c r="I39" s="72">
        <f t="shared" si="0"/>
        <v>16</v>
      </c>
      <c r="J39" s="71"/>
      <c r="K39" s="91">
        <f t="shared" si="1"/>
        <v>16</v>
      </c>
    </row>
    <row r="40" spans="2:11" s="2" customFormat="1" x14ac:dyDescent="0.25">
      <c r="B40" s="3"/>
      <c r="C40" s="4">
        <v>27</v>
      </c>
      <c r="D40" s="26" t="s">
        <v>19</v>
      </c>
      <c r="E40" s="28">
        <v>12</v>
      </c>
      <c r="F40" s="187">
        <v>12</v>
      </c>
      <c r="G40" s="197" t="s">
        <v>108</v>
      </c>
      <c r="H40" s="90"/>
      <c r="I40" s="72">
        <f t="shared" si="0"/>
        <v>96</v>
      </c>
      <c r="J40" s="71"/>
      <c r="K40" s="91">
        <f t="shared" si="1"/>
        <v>96</v>
      </c>
    </row>
    <row r="41" spans="2:11" s="2" customFormat="1" x14ac:dyDescent="0.25">
      <c r="B41" s="3"/>
      <c r="C41" s="4">
        <v>28</v>
      </c>
      <c r="D41" s="26" t="s">
        <v>112</v>
      </c>
      <c r="E41" s="28">
        <v>3</v>
      </c>
      <c r="F41" s="187">
        <v>3</v>
      </c>
      <c r="G41" s="197" t="s">
        <v>109</v>
      </c>
      <c r="H41" s="90"/>
      <c r="I41" s="72">
        <f t="shared" si="0"/>
        <v>24</v>
      </c>
      <c r="J41" s="71"/>
      <c r="K41" s="91">
        <f t="shared" si="1"/>
        <v>24</v>
      </c>
    </row>
    <row r="42" spans="2:11" s="2" customFormat="1" x14ac:dyDescent="0.25">
      <c r="B42" s="3"/>
      <c r="C42" s="4">
        <v>29</v>
      </c>
      <c r="D42" s="26" t="s">
        <v>20</v>
      </c>
      <c r="E42" s="28">
        <v>5</v>
      </c>
      <c r="F42" s="187">
        <v>5</v>
      </c>
      <c r="G42" s="197" t="s">
        <v>110</v>
      </c>
      <c r="H42" s="90"/>
      <c r="I42" s="72">
        <f t="shared" si="0"/>
        <v>40</v>
      </c>
      <c r="J42" s="71"/>
      <c r="K42" s="91">
        <f t="shared" si="1"/>
        <v>40</v>
      </c>
    </row>
    <row r="43" spans="2:11" s="2" customFormat="1" x14ac:dyDescent="0.25">
      <c r="B43" s="3"/>
      <c r="C43" s="4">
        <v>30</v>
      </c>
      <c r="D43" s="26" t="s">
        <v>24</v>
      </c>
      <c r="E43" s="28">
        <v>20</v>
      </c>
      <c r="F43" s="187">
        <v>20</v>
      </c>
      <c r="G43" s="197" t="s">
        <v>111</v>
      </c>
      <c r="H43" s="90"/>
      <c r="I43" s="72">
        <f t="shared" si="0"/>
        <v>160</v>
      </c>
      <c r="J43" s="71"/>
      <c r="K43" s="91">
        <f t="shared" si="1"/>
        <v>160</v>
      </c>
    </row>
    <row r="44" spans="2:11" s="2" customFormat="1" ht="15" x14ac:dyDescent="0.25">
      <c r="B44" s="3"/>
      <c r="C44" s="4">
        <v>31</v>
      </c>
      <c r="D44" s="26" t="s">
        <v>45</v>
      </c>
      <c r="E44" s="26"/>
      <c r="F44" s="152">
        <f>I44/I34</f>
        <v>0.26700000000000002</v>
      </c>
      <c r="G44" s="197" t="s">
        <v>91</v>
      </c>
      <c r="H44" s="90"/>
      <c r="I44" s="72">
        <f>ROUND(SUM(I37:I43),2)</f>
        <v>448</v>
      </c>
      <c r="J44" s="71"/>
      <c r="K44" s="91">
        <f>ROUND(SUM(K37:K43),2)</f>
        <v>448</v>
      </c>
    </row>
    <row r="45" spans="2:11" s="2" customFormat="1" ht="15" x14ac:dyDescent="0.25">
      <c r="B45" s="3"/>
      <c r="C45" s="4">
        <v>32</v>
      </c>
      <c r="D45" s="26" t="s">
        <v>46</v>
      </c>
      <c r="E45" s="26"/>
      <c r="F45" s="152">
        <f>F44</f>
        <v>0.26700000000000002</v>
      </c>
      <c r="G45" s="197" t="s">
        <v>103</v>
      </c>
      <c r="H45" s="90"/>
      <c r="I45" s="73">
        <f>ROUND(F45*I35,2)</f>
        <v>37.33</v>
      </c>
      <c r="J45" s="71"/>
      <c r="K45" s="92">
        <f>ROUND(F45*K35,2)</f>
        <v>37.33</v>
      </c>
    </row>
    <row r="46" spans="2:11" s="2" customFormat="1" x14ac:dyDescent="0.25">
      <c r="B46" s="3"/>
      <c r="D46" s="29"/>
      <c r="E46" s="29"/>
      <c r="F46" s="153"/>
      <c r="G46" s="198"/>
      <c r="H46" s="135"/>
      <c r="I46" s="129"/>
      <c r="J46" s="136"/>
      <c r="K46" s="130"/>
    </row>
    <row r="47" spans="2:11" s="2" customFormat="1" x14ac:dyDescent="0.25">
      <c r="B47" s="3" t="s">
        <v>21</v>
      </c>
      <c r="C47" s="4">
        <v>33</v>
      </c>
      <c r="D47" s="30" t="s">
        <v>22</v>
      </c>
      <c r="E47" s="30"/>
      <c r="F47" s="154"/>
      <c r="G47" s="204" t="s">
        <v>80</v>
      </c>
      <c r="H47" s="131"/>
      <c r="I47" s="132">
        <f>ROUND(I34-I44,2)</f>
        <v>1229.5999999999999</v>
      </c>
      <c r="J47" s="133"/>
      <c r="K47" s="134">
        <f>ROUND(K34-K44,2)</f>
        <v>1229.5999999999999</v>
      </c>
    </row>
    <row r="48" spans="2:11" s="2" customFormat="1" ht="14.25" customHeight="1" x14ac:dyDescent="0.25">
      <c r="B48" s="3" t="s">
        <v>0</v>
      </c>
      <c r="C48" s="4">
        <v>34</v>
      </c>
      <c r="D48" s="2" t="s">
        <v>44</v>
      </c>
      <c r="F48" s="155"/>
      <c r="G48" s="192" t="s">
        <v>81</v>
      </c>
      <c r="H48" s="88"/>
      <c r="I48" s="19">
        <f>ROUND(I35-I45,2)</f>
        <v>102.47</v>
      </c>
      <c r="J48" s="35"/>
      <c r="K48" s="93">
        <f>ROUND(K35-K45,2)</f>
        <v>102.47</v>
      </c>
    </row>
    <row r="49" spans="2:14" s="2" customFormat="1" ht="18.75" customHeight="1" x14ac:dyDescent="0.25">
      <c r="B49" s="181" t="s">
        <v>23</v>
      </c>
      <c r="C49" s="182">
        <v>35</v>
      </c>
      <c r="D49" s="183" t="s">
        <v>47</v>
      </c>
      <c r="E49" s="184"/>
      <c r="F49" s="185"/>
      <c r="G49" s="206" t="s">
        <v>82</v>
      </c>
      <c r="H49" s="107" t="s">
        <v>94</v>
      </c>
      <c r="I49" s="104">
        <f>ROUND(I22/I48,2)</f>
        <v>55.24</v>
      </c>
      <c r="J49" s="108" t="s">
        <v>94</v>
      </c>
      <c r="K49" s="106">
        <f>ROUND(K22/K48,2)</f>
        <v>70.290000000000006</v>
      </c>
    </row>
    <row r="50" spans="2:14" s="2" customFormat="1" ht="6" customHeight="1" x14ac:dyDescent="0.25">
      <c r="B50" s="3"/>
      <c r="F50" s="4"/>
      <c r="G50" s="192"/>
      <c r="H50" s="109"/>
      <c r="I50" s="54"/>
      <c r="J50" s="38"/>
      <c r="K50" s="87"/>
    </row>
    <row r="51" spans="2:14" s="2" customFormat="1" ht="6.75" customHeight="1" x14ac:dyDescent="0.25">
      <c r="B51" s="3"/>
      <c r="F51" s="4"/>
      <c r="G51" s="192"/>
      <c r="H51" s="109"/>
      <c r="I51" s="54"/>
      <c r="J51" s="38"/>
      <c r="K51" s="87"/>
    </row>
    <row r="52" spans="2:14" s="80" customFormat="1" ht="16.5" customHeight="1" x14ac:dyDescent="0.25">
      <c r="B52" s="75" t="s">
        <v>48</v>
      </c>
      <c r="C52" s="81"/>
      <c r="D52" s="76"/>
      <c r="E52" s="76"/>
      <c r="F52" s="82"/>
      <c r="G52" s="220"/>
      <c r="H52" s="110"/>
      <c r="I52" s="83"/>
      <c r="J52" s="82"/>
      <c r="K52" s="100"/>
    </row>
    <row r="53" spans="2:14" s="2" customFormat="1" ht="5.25" customHeight="1" x14ac:dyDescent="0.25">
      <c r="B53" s="3"/>
      <c r="F53" s="4"/>
      <c r="G53" s="192"/>
      <c r="H53" s="109"/>
      <c r="I53" s="54"/>
      <c r="J53" s="38"/>
      <c r="K53" s="87"/>
    </row>
    <row r="54" spans="2:14" s="2" customFormat="1" ht="15.75" thickBot="1" x14ac:dyDescent="0.3">
      <c r="B54" s="55" t="s">
        <v>25</v>
      </c>
      <c r="C54" s="7"/>
      <c r="D54" s="7" t="s">
        <v>0</v>
      </c>
      <c r="E54" s="6"/>
      <c r="F54" s="56"/>
      <c r="G54" s="201"/>
      <c r="H54" s="111"/>
      <c r="I54" s="97" t="s">
        <v>0</v>
      </c>
      <c r="J54" s="96"/>
      <c r="K54" s="93" t="s">
        <v>0</v>
      </c>
    </row>
    <row r="55" spans="2:14" s="2" customFormat="1" ht="15" thickBot="1" x14ac:dyDescent="0.3">
      <c r="B55" s="8" t="s">
        <v>26</v>
      </c>
      <c r="D55" s="5"/>
      <c r="E55" s="10" t="s">
        <v>93</v>
      </c>
      <c r="F55" s="148" t="s">
        <v>61</v>
      </c>
      <c r="G55" s="209"/>
      <c r="H55" s="113"/>
      <c r="I55" s="20"/>
      <c r="J55" s="114"/>
      <c r="K55" s="115"/>
    </row>
    <row r="56" spans="2:14" s="2" customFormat="1" x14ac:dyDescent="0.25">
      <c r="B56" s="3"/>
      <c r="C56" s="2">
        <v>36</v>
      </c>
      <c r="D56" s="2" t="s">
        <v>95</v>
      </c>
      <c r="E56" s="9">
        <v>7.0000000000000007E-2</v>
      </c>
      <c r="F56" s="189">
        <v>7.0000000000000007E-2</v>
      </c>
      <c r="G56" s="209"/>
      <c r="H56" s="98"/>
      <c r="I56" s="17"/>
      <c r="J56" s="41"/>
      <c r="K56" s="87"/>
      <c r="N56" s="4"/>
    </row>
    <row r="57" spans="2:14" s="2" customFormat="1" x14ac:dyDescent="0.25">
      <c r="B57" s="3"/>
      <c r="C57" s="2">
        <v>37</v>
      </c>
      <c r="D57" s="26" t="s">
        <v>32</v>
      </c>
      <c r="E57" s="22">
        <v>0.15</v>
      </c>
      <c r="F57" s="190">
        <v>0.15</v>
      </c>
      <c r="G57" s="210"/>
      <c r="H57" s="98"/>
      <c r="I57" s="17"/>
      <c r="J57" s="41"/>
      <c r="K57" s="87"/>
    </row>
    <row r="58" spans="2:14" s="2" customFormat="1" x14ac:dyDescent="0.25">
      <c r="B58" s="3"/>
      <c r="C58" s="2">
        <v>38</v>
      </c>
      <c r="D58" s="26" t="s">
        <v>27</v>
      </c>
      <c r="E58" s="22">
        <v>0.05</v>
      </c>
      <c r="F58" s="190">
        <v>0.05</v>
      </c>
      <c r="G58" s="210"/>
      <c r="H58" s="98"/>
      <c r="I58" s="17"/>
      <c r="J58" s="41"/>
      <c r="K58" s="87"/>
    </row>
    <row r="59" spans="2:14" s="2" customFormat="1" x14ac:dyDescent="0.25">
      <c r="B59" s="3"/>
      <c r="C59" s="2">
        <v>39</v>
      </c>
      <c r="D59" s="26" t="s">
        <v>28</v>
      </c>
      <c r="E59" s="22">
        <v>0.08</v>
      </c>
      <c r="F59" s="190">
        <v>0.08</v>
      </c>
      <c r="G59" s="210"/>
      <c r="H59" s="98"/>
      <c r="I59" s="17"/>
      <c r="J59" s="41"/>
      <c r="K59" s="87"/>
    </row>
    <row r="60" spans="2:14" s="2" customFormat="1" x14ac:dyDescent="0.25">
      <c r="B60" s="3"/>
      <c r="C60" s="2">
        <v>40</v>
      </c>
      <c r="D60" s="26" t="s">
        <v>29</v>
      </c>
      <c r="E60" s="22">
        <v>0.03</v>
      </c>
      <c r="F60" s="190">
        <v>0.03</v>
      </c>
      <c r="G60" s="210"/>
      <c r="H60" s="98"/>
      <c r="I60" s="17"/>
      <c r="J60" s="41"/>
      <c r="K60" s="87"/>
    </row>
    <row r="61" spans="2:14" s="2" customFormat="1" x14ac:dyDescent="0.25">
      <c r="B61" s="3"/>
      <c r="C61" s="2">
        <v>41</v>
      </c>
      <c r="D61" s="26" t="s">
        <v>57</v>
      </c>
      <c r="E61" s="22">
        <v>0.05</v>
      </c>
      <c r="F61" s="190">
        <v>0.05</v>
      </c>
      <c r="G61" s="210"/>
      <c r="H61" s="98"/>
      <c r="I61" s="17"/>
      <c r="J61" s="41"/>
      <c r="K61" s="87"/>
    </row>
    <row r="62" spans="2:14" s="2" customFormat="1" x14ac:dyDescent="0.25">
      <c r="B62" s="3"/>
      <c r="C62" s="2">
        <v>42</v>
      </c>
      <c r="D62" s="26" t="s">
        <v>30</v>
      </c>
      <c r="E62" s="22">
        <v>0.01</v>
      </c>
      <c r="F62" s="190">
        <v>0.01</v>
      </c>
      <c r="G62" s="210"/>
      <c r="H62" s="98"/>
      <c r="I62" s="17"/>
      <c r="J62" s="41"/>
      <c r="K62" s="87"/>
    </row>
    <row r="63" spans="2:14" s="2" customFormat="1" x14ac:dyDescent="0.25">
      <c r="B63" s="3"/>
      <c r="C63" s="2">
        <v>43</v>
      </c>
      <c r="D63" s="26" t="s">
        <v>33</v>
      </c>
      <c r="E63" s="22">
        <v>0.02</v>
      </c>
      <c r="F63" s="190">
        <v>0.02</v>
      </c>
      <c r="G63" s="210"/>
      <c r="H63" s="98"/>
      <c r="I63" s="17"/>
      <c r="J63" s="41"/>
      <c r="K63" s="87"/>
    </row>
    <row r="64" spans="2:14" s="2" customFormat="1" x14ac:dyDescent="0.25">
      <c r="B64" s="3"/>
      <c r="C64" s="2">
        <v>44</v>
      </c>
      <c r="D64" s="26" t="s">
        <v>34</v>
      </c>
      <c r="E64" s="22">
        <v>0.02</v>
      </c>
      <c r="F64" s="190">
        <v>0.02</v>
      </c>
      <c r="G64" s="210"/>
      <c r="H64" s="98"/>
      <c r="I64" s="17"/>
      <c r="J64" s="41"/>
      <c r="K64" s="87"/>
    </row>
    <row r="65" spans="2:17" s="2" customFormat="1" x14ac:dyDescent="0.25">
      <c r="B65" s="3"/>
      <c r="C65" s="2">
        <v>45</v>
      </c>
      <c r="D65" s="26" t="s">
        <v>35</v>
      </c>
      <c r="E65" s="22">
        <v>0.01</v>
      </c>
      <c r="F65" s="190">
        <v>0.01</v>
      </c>
      <c r="G65" s="210"/>
      <c r="H65" s="98"/>
      <c r="I65" s="17"/>
      <c r="J65" s="41"/>
      <c r="K65" s="87"/>
    </row>
    <row r="66" spans="2:17" s="2" customFormat="1" x14ac:dyDescent="0.25">
      <c r="B66" s="3"/>
      <c r="C66" s="2">
        <v>46</v>
      </c>
      <c r="D66" s="26" t="s">
        <v>31</v>
      </c>
      <c r="E66" s="22">
        <v>0.02</v>
      </c>
      <c r="F66" s="190">
        <v>0.02</v>
      </c>
      <c r="G66" s="210"/>
      <c r="H66" s="98"/>
      <c r="I66" s="17"/>
      <c r="J66" s="41"/>
      <c r="K66" s="87"/>
    </row>
    <row r="67" spans="2:17" s="2" customFormat="1" x14ac:dyDescent="0.25">
      <c r="B67" s="3"/>
      <c r="C67" s="2">
        <v>47</v>
      </c>
      <c r="D67" s="26" t="s">
        <v>36</v>
      </c>
      <c r="E67" s="22">
        <v>0.02</v>
      </c>
      <c r="F67" s="190">
        <v>0.02</v>
      </c>
      <c r="G67" s="210"/>
      <c r="H67" s="98"/>
      <c r="I67" s="17"/>
      <c r="J67" s="41"/>
      <c r="K67" s="87"/>
    </row>
    <row r="68" spans="2:17" s="2" customFormat="1" x14ac:dyDescent="0.25">
      <c r="B68" s="8" t="s">
        <v>114</v>
      </c>
      <c r="C68" s="2">
        <v>48</v>
      </c>
      <c r="D68" s="26" t="s">
        <v>115</v>
      </c>
      <c r="E68" s="22">
        <v>0.15</v>
      </c>
      <c r="F68" s="190">
        <v>0.15</v>
      </c>
      <c r="G68" s="210"/>
      <c r="H68" s="112"/>
      <c r="I68" s="17"/>
      <c r="J68" s="40"/>
      <c r="K68" s="87"/>
    </row>
    <row r="69" spans="2:17" s="2" customFormat="1" ht="15" x14ac:dyDescent="0.25">
      <c r="B69" s="3"/>
      <c r="C69" s="2">
        <v>49</v>
      </c>
      <c r="D69" s="50" t="s">
        <v>49</v>
      </c>
      <c r="E69" s="51">
        <f>SUM(E56:E68)</f>
        <v>0.68</v>
      </c>
      <c r="F69" s="149">
        <f>SUM(F56:F68)</f>
        <v>0.68</v>
      </c>
      <c r="G69" s="207" t="s">
        <v>83</v>
      </c>
      <c r="H69" s="166" t="s">
        <v>94</v>
      </c>
      <c r="I69" s="53">
        <f>ROUND(F69*I49,2)</f>
        <v>37.56</v>
      </c>
      <c r="J69" s="52"/>
      <c r="K69" s="167">
        <f>ROUND(F69*K49,2)</f>
        <v>47.8</v>
      </c>
    </row>
    <row r="70" spans="2:17" s="2" customFormat="1" ht="5.25" customHeight="1" x14ac:dyDescent="0.25">
      <c r="B70" s="3"/>
      <c r="D70" s="16"/>
      <c r="E70" s="42"/>
      <c r="F70" s="42"/>
      <c r="G70" s="208"/>
      <c r="H70" s="98"/>
      <c r="I70" s="54"/>
      <c r="J70" s="9"/>
      <c r="K70" s="87"/>
    </row>
    <row r="71" spans="2:17" s="2" customFormat="1" ht="15" x14ac:dyDescent="0.25">
      <c r="B71" s="55" t="s">
        <v>39</v>
      </c>
      <c r="C71" s="7"/>
      <c r="D71" s="7" t="s">
        <v>0</v>
      </c>
      <c r="E71" s="178"/>
      <c r="F71" s="178"/>
      <c r="G71" s="209"/>
      <c r="H71" s="98"/>
      <c r="I71" s="97" t="s">
        <v>0</v>
      </c>
      <c r="J71" s="9"/>
      <c r="K71" s="93" t="s">
        <v>0</v>
      </c>
    </row>
    <row r="72" spans="2:17" s="2" customFormat="1" x14ac:dyDescent="0.25">
      <c r="B72" s="169"/>
      <c r="C72" s="16">
        <v>50</v>
      </c>
      <c r="D72" s="16" t="s">
        <v>37</v>
      </c>
      <c r="E72" s="42">
        <v>0.05</v>
      </c>
      <c r="F72" s="191">
        <v>0.05</v>
      </c>
      <c r="G72" s="208"/>
      <c r="H72" s="179"/>
      <c r="I72" s="18"/>
      <c r="J72" s="180"/>
      <c r="K72" s="146"/>
    </row>
    <row r="73" spans="2:17" s="2" customFormat="1" x14ac:dyDescent="0.25">
      <c r="B73" s="3"/>
      <c r="C73" s="2">
        <v>51</v>
      </c>
      <c r="D73" s="26" t="s">
        <v>113</v>
      </c>
      <c r="E73" s="22">
        <v>0.05</v>
      </c>
      <c r="F73" s="190">
        <v>0.05</v>
      </c>
      <c r="G73" s="210"/>
      <c r="H73" s="98"/>
      <c r="I73" s="17"/>
      <c r="J73" s="41"/>
      <c r="K73" s="87"/>
      <c r="Q73" s="2" t="s">
        <v>0</v>
      </c>
    </row>
    <row r="74" spans="2:17" s="2" customFormat="1" x14ac:dyDescent="0.25">
      <c r="B74" s="3"/>
      <c r="C74" s="2">
        <v>52</v>
      </c>
      <c r="D74" s="26" t="s">
        <v>38</v>
      </c>
      <c r="E74" s="22">
        <v>0.04</v>
      </c>
      <c r="F74" s="190">
        <v>0.04</v>
      </c>
      <c r="G74" s="210"/>
      <c r="H74" s="98"/>
      <c r="I74" s="17"/>
      <c r="J74" s="41"/>
      <c r="K74" s="87"/>
    </row>
    <row r="75" spans="2:17" s="2" customFormat="1" ht="5.25" customHeight="1" x14ac:dyDescent="0.25">
      <c r="B75" s="3"/>
      <c r="D75" s="29"/>
      <c r="E75" s="137"/>
      <c r="F75" s="150"/>
      <c r="G75" s="194"/>
      <c r="H75" s="98"/>
      <c r="I75" s="17"/>
      <c r="J75" s="41"/>
      <c r="K75" s="87"/>
    </row>
    <row r="76" spans="2:17" s="2" customFormat="1" ht="15" x14ac:dyDescent="0.25">
      <c r="B76" s="3"/>
      <c r="C76" s="2">
        <v>53</v>
      </c>
      <c r="D76" s="140" t="s">
        <v>50</v>
      </c>
      <c r="E76" s="141">
        <f>SUM(E72:E75)</f>
        <v>0.14000000000000001</v>
      </c>
      <c r="F76" s="151">
        <f>SUM(F72:F75)</f>
        <v>0.14000000000000001</v>
      </c>
      <c r="G76" s="211" t="s">
        <v>84</v>
      </c>
      <c r="H76" s="142" t="s">
        <v>94</v>
      </c>
      <c r="I76" s="143">
        <f>ROUND(F76*I49,2)</f>
        <v>7.73</v>
      </c>
      <c r="J76" s="144"/>
      <c r="K76" s="145">
        <f>ROUND(F76*K49,2)</f>
        <v>9.84</v>
      </c>
    </row>
    <row r="77" spans="2:17" s="2" customFormat="1" ht="6.75" customHeight="1" x14ac:dyDescent="0.25">
      <c r="B77" s="3"/>
      <c r="D77" s="29"/>
      <c r="E77" s="137"/>
      <c r="F77" s="150"/>
      <c r="G77" s="194"/>
      <c r="H77" s="138"/>
      <c r="I77" s="129"/>
      <c r="J77" s="139"/>
      <c r="K77" s="130"/>
    </row>
    <row r="78" spans="2:17" s="2" customFormat="1" ht="15" x14ac:dyDescent="0.25">
      <c r="B78" s="3"/>
      <c r="C78" s="2">
        <v>54</v>
      </c>
      <c r="D78" s="140" t="s">
        <v>51</v>
      </c>
      <c r="E78" s="141">
        <f>E76+E69</f>
        <v>0.82</v>
      </c>
      <c r="F78" s="151">
        <f>F76+F69</f>
        <v>0.82</v>
      </c>
      <c r="G78" s="211" t="s">
        <v>85</v>
      </c>
      <c r="H78" s="142" t="s">
        <v>94</v>
      </c>
      <c r="I78" s="143">
        <f>ROUND(F78*I49,2)</f>
        <v>45.3</v>
      </c>
      <c r="J78" s="144"/>
      <c r="K78" s="145">
        <f>ROUND(F78*K49,2)</f>
        <v>57.64</v>
      </c>
    </row>
    <row r="79" spans="2:17" s="2" customFormat="1" ht="9" customHeight="1" x14ac:dyDescent="0.25">
      <c r="B79" s="3"/>
      <c r="F79" s="4"/>
      <c r="G79" s="192"/>
      <c r="H79" s="88"/>
      <c r="I79" s="54"/>
      <c r="J79" s="4"/>
      <c r="K79" s="87"/>
    </row>
    <row r="80" spans="2:17" s="80" customFormat="1" ht="16.5" customHeight="1" x14ac:dyDescent="0.25">
      <c r="B80" s="75" t="s">
        <v>99</v>
      </c>
      <c r="C80" s="76"/>
      <c r="D80" s="77"/>
      <c r="E80" s="76"/>
      <c r="F80" s="165"/>
      <c r="G80" s="212" t="s">
        <v>86</v>
      </c>
      <c r="H80" s="99" t="s">
        <v>94</v>
      </c>
      <c r="I80" s="78">
        <f>ROUND(I49+I78,2)</f>
        <v>100.54</v>
      </c>
      <c r="J80" s="79"/>
      <c r="K80" s="100">
        <f>ROUND(K49+K78,2)</f>
        <v>127.93</v>
      </c>
    </row>
    <row r="81" spans="2:11" s="2" customFormat="1" ht="5.25" customHeight="1" x14ac:dyDescent="0.25">
      <c r="B81" s="3"/>
      <c r="F81" s="4"/>
      <c r="G81" s="192" t="s">
        <v>0</v>
      </c>
      <c r="H81" s="88"/>
      <c r="I81" s="54"/>
      <c r="J81" s="4"/>
      <c r="K81" s="87"/>
    </row>
    <row r="82" spans="2:11" s="2" customFormat="1" ht="15" x14ac:dyDescent="0.25">
      <c r="B82" s="181" t="s">
        <v>58</v>
      </c>
      <c r="C82" s="184"/>
      <c r="D82" s="183"/>
      <c r="E82" s="184"/>
      <c r="F82" s="185"/>
      <c r="G82" s="206" t="s">
        <v>88</v>
      </c>
      <c r="H82" s="103" t="s">
        <v>94</v>
      </c>
      <c r="I82" s="104">
        <f>ROUND(I80*I48,2)</f>
        <v>10302.33</v>
      </c>
      <c r="J82" s="217"/>
      <c r="K82" s="106">
        <f>ROUND(K80*K48,2)</f>
        <v>13108.99</v>
      </c>
    </row>
    <row r="83" spans="2:11" s="2" customFormat="1" ht="5.25" customHeight="1" x14ac:dyDescent="0.25">
      <c r="B83" s="3"/>
      <c r="F83" s="4"/>
      <c r="G83" s="192"/>
      <c r="H83" s="88"/>
      <c r="I83" s="54"/>
      <c r="J83" s="218"/>
      <c r="K83" s="87"/>
    </row>
    <row r="84" spans="2:11" s="2" customFormat="1" ht="15.75" thickBot="1" x14ac:dyDescent="0.3">
      <c r="B84" s="23" t="s">
        <v>59</v>
      </c>
      <c r="C84" s="24"/>
      <c r="D84" s="25"/>
      <c r="E84" s="24"/>
      <c r="F84" s="156"/>
      <c r="G84" s="213" t="s">
        <v>87</v>
      </c>
      <c r="H84" s="101" t="s">
        <v>94</v>
      </c>
      <c r="I84" s="94">
        <f>ROUND(I80*I47,2)</f>
        <v>123623.98</v>
      </c>
      <c r="J84" s="219"/>
      <c r="K84" s="95">
        <f>ROUND(K80*K47,2)</f>
        <v>157302.73000000001</v>
      </c>
    </row>
    <row r="86" spans="2:11" ht="3.75" customHeight="1" x14ac:dyDescent="0.2"/>
    <row r="87" spans="2:11" x14ac:dyDescent="0.2">
      <c r="B87" s="214" t="s">
        <v>138</v>
      </c>
      <c r="D87" s="214" t="s">
        <v>139</v>
      </c>
      <c r="E87" s="31" t="s">
        <v>89</v>
      </c>
      <c r="F87" s="70"/>
      <c r="G87" s="31" t="s">
        <v>125</v>
      </c>
    </row>
    <row r="88" spans="2:11" ht="3" customHeight="1" x14ac:dyDescent="0.2">
      <c r="E88" s="31"/>
    </row>
    <row r="89" spans="2:11" ht="36.75" customHeight="1" x14ac:dyDescent="0.2">
      <c r="B89" s="227" t="s">
        <v>150</v>
      </c>
      <c r="C89" s="227"/>
      <c r="D89" s="227"/>
      <c r="E89" s="227"/>
      <c r="F89" s="227"/>
      <c r="G89" s="227"/>
      <c r="H89" s="227"/>
      <c r="I89" s="227"/>
      <c r="J89" s="227"/>
      <c r="K89" s="227"/>
    </row>
  </sheetData>
  <mergeCells count="5">
    <mergeCell ref="B3:D3"/>
    <mergeCell ref="F3:K3"/>
    <mergeCell ref="H5:I5"/>
    <mergeCell ref="J5:K5"/>
    <mergeCell ref="B89:K89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1:Q89"/>
  <sheetViews>
    <sheetView showGridLines="0" tabSelected="1" view="pageBreakPreview" topLeftCell="A44" zoomScale="85" zoomScaleNormal="85" zoomScaleSheetLayoutView="85" zoomScalePageLayoutView="70" workbookViewId="0">
      <selection activeCell="B89" sqref="B89:K89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1" customWidth="1"/>
    <col min="8" max="8" width="5.42578125" style="31" customWidth="1"/>
    <col min="9" max="9" width="13.7109375" style="1" customWidth="1"/>
    <col min="10" max="10" width="5.42578125" style="31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1" t="s">
        <v>122</v>
      </c>
      <c r="C2" s="12"/>
      <c r="D2" s="13"/>
      <c r="E2" s="13"/>
      <c r="F2" s="13"/>
      <c r="G2" s="32"/>
      <c r="H2" s="32"/>
      <c r="I2" s="13"/>
      <c r="J2" s="32"/>
      <c r="K2" s="14"/>
    </row>
    <row r="3" spans="2:11" ht="87" customHeight="1" x14ac:dyDescent="0.2">
      <c r="B3" s="222" t="s">
        <v>123</v>
      </c>
      <c r="C3" s="223"/>
      <c r="D3" s="223"/>
      <c r="E3" s="69" t="s">
        <v>129</v>
      </c>
      <c r="F3" s="224" t="s">
        <v>147</v>
      </c>
      <c r="G3" s="225"/>
      <c r="H3" s="225"/>
      <c r="I3" s="225"/>
      <c r="J3" s="225"/>
      <c r="K3" s="226"/>
    </row>
    <row r="4" spans="2:11" ht="7.5" customHeight="1" thickBot="1" x14ac:dyDescent="0.25">
      <c r="B4" s="65"/>
      <c r="C4" s="66"/>
      <c r="D4" s="66"/>
      <c r="E4" s="67"/>
      <c r="F4" s="67"/>
      <c r="G4" s="67"/>
      <c r="H4" s="67"/>
      <c r="I4" s="67"/>
      <c r="J4" s="67"/>
      <c r="K4" s="68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230" t="s">
        <v>149</v>
      </c>
      <c r="I5" s="231"/>
      <c r="J5" s="228" t="s">
        <v>148</v>
      </c>
      <c r="K5" s="229"/>
    </row>
    <row r="6" spans="2:11" s="2" customFormat="1" ht="15" customHeight="1" x14ac:dyDescent="0.25">
      <c r="B6" s="3"/>
      <c r="F6" s="160" t="s">
        <v>64</v>
      </c>
      <c r="G6" s="192" t="s">
        <v>100</v>
      </c>
      <c r="H6" s="84"/>
      <c r="I6" s="64" t="s">
        <v>66</v>
      </c>
      <c r="J6" s="33"/>
      <c r="K6" s="85" t="s">
        <v>65</v>
      </c>
    </row>
    <row r="7" spans="2:11" s="2" customFormat="1" ht="15" x14ac:dyDescent="0.25">
      <c r="B7" s="55" t="s">
        <v>40</v>
      </c>
      <c r="C7" s="4">
        <v>1</v>
      </c>
      <c r="D7" s="2" t="s">
        <v>52</v>
      </c>
      <c r="F7" s="161"/>
      <c r="G7" s="195"/>
      <c r="H7" s="86" t="s">
        <v>94</v>
      </c>
      <c r="I7" s="18">
        <v>2462</v>
      </c>
      <c r="J7" s="34" t="s">
        <v>94</v>
      </c>
      <c r="K7" s="146">
        <v>2894</v>
      </c>
    </row>
    <row r="8" spans="2:11" s="2" customFormat="1" ht="15" x14ac:dyDescent="0.25">
      <c r="B8" s="55" t="s">
        <v>0</v>
      </c>
      <c r="C8" s="4">
        <v>2</v>
      </c>
      <c r="D8" s="168" t="s">
        <v>53</v>
      </c>
      <c r="E8" s="168"/>
      <c r="F8" s="186">
        <v>0.3</v>
      </c>
      <c r="G8" s="194" t="s">
        <v>101</v>
      </c>
      <c r="H8" s="138" t="s">
        <v>94</v>
      </c>
      <c r="I8" s="123">
        <f>ROUND(I7*(1+F8),2)</f>
        <v>3200.6</v>
      </c>
      <c r="J8" s="139" t="s">
        <v>94</v>
      </c>
      <c r="K8" s="125">
        <f>ROUND(K7*(1+F8),2)</f>
        <v>3762.2</v>
      </c>
    </row>
    <row r="9" spans="2:11" s="2" customFormat="1" x14ac:dyDescent="0.25">
      <c r="B9" s="169"/>
      <c r="C9" s="36">
        <v>3</v>
      </c>
      <c r="D9" s="16" t="s">
        <v>5</v>
      </c>
      <c r="E9" s="16"/>
      <c r="F9" s="161">
        <v>4.33</v>
      </c>
      <c r="G9" s="195" t="s">
        <v>67</v>
      </c>
      <c r="H9" s="86" t="s">
        <v>94</v>
      </c>
      <c r="I9" s="18">
        <f>ROUND(I8/F9,2)</f>
        <v>739.17</v>
      </c>
      <c r="J9" s="34" t="s">
        <v>94</v>
      </c>
      <c r="K9" s="146">
        <f>ROUND(K8/F9,2)</f>
        <v>868.87</v>
      </c>
    </row>
    <row r="10" spans="2:11" s="2" customFormat="1" x14ac:dyDescent="0.25">
      <c r="B10" s="3" t="s">
        <v>0</v>
      </c>
      <c r="C10" s="4">
        <v>4</v>
      </c>
      <c r="D10" s="26" t="s">
        <v>96</v>
      </c>
      <c r="E10" s="26"/>
      <c r="F10" s="158">
        <v>40</v>
      </c>
      <c r="G10" s="196" t="s">
        <v>68</v>
      </c>
      <c r="H10" s="90" t="s">
        <v>94</v>
      </c>
      <c r="I10" s="72">
        <f>ROUND(I9/F10,2)</f>
        <v>18.48</v>
      </c>
      <c r="J10" s="71" t="s">
        <v>94</v>
      </c>
      <c r="K10" s="91">
        <f>ROUND(K9/F10,2)</f>
        <v>21.72</v>
      </c>
    </row>
    <row r="11" spans="2:11" s="2" customFormat="1" x14ac:dyDescent="0.25">
      <c r="B11" s="3" t="s">
        <v>0</v>
      </c>
      <c r="C11" s="4">
        <v>5</v>
      </c>
      <c r="D11" s="26"/>
      <c r="E11" s="26"/>
      <c r="F11" s="158"/>
      <c r="G11" s="196"/>
      <c r="H11" s="90"/>
      <c r="I11" s="72"/>
      <c r="J11" s="71"/>
      <c r="K11" s="91"/>
    </row>
    <row r="12" spans="2:11" s="2" customFormat="1" x14ac:dyDescent="0.25">
      <c r="B12" s="3" t="s">
        <v>0</v>
      </c>
      <c r="C12" s="4">
        <v>6</v>
      </c>
      <c r="D12" s="26" t="s">
        <v>1</v>
      </c>
      <c r="E12" s="26"/>
      <c r="F12" s="162">
        <v>0.21829999999999999</v>
      </c>
      <c r="G12" s="197" t="s">
        <v>69</v>
      </c>
      <c r="H12" s="90" t="s">
        <v>94</v>
      </c>
      <c r="I12" s="72">
        <f>ROUND($I$8*F12,2)</f>
        <v>698.69</v>
      </c>
      <c r="J12" s="71" t="s">
        <v>94</v>
      </c>
      <c r="K12" s="91">
        <f>ROUND($K$8*F12,2)</f>
        <v>821.29</v>
      </c>
    </row>
    <row r="13" spans="2:11" s="2" customFormat="1" x14ac:dyDescent="0.25">
      <c r="B13" s="3" t="s">
        <v>0</v>
      </c>
      <c r="C13" s="4">
        <v>7</v>
      </c>
      <c r="D13" s="26" t="s">
        <v>2</v>
      </c>
      <c r="E13" s="26"/>
      <c r="F13" s="162">
        <v>4.4999999999999998E-2</v>
      </c>
      <c r="G13" s="197" t="s">
        <v>70</v>
      </c>
      <c r="H13" s="90" t="s">
        <v>94</v>
      </c>
      <c r="I13" s="72">
        <f>ROUND($I$8*F13,2)</f>
        <v>144.03</v>
      </c>
      <c r="J13" s="71" t="s">
        <v>94</v>
      </c>
      <c r="K13" s="91">
        <f>ROUND($K$8*F13,2)</f>
        <v>169.3</v>
      </c>
    </row>
    <row r="14" spans="2:11" s="2" customFormat="1" x14ac:dyDescent="0.25">
      <c r="B14" s="3"/>
      <c r="C14" s="4">
        <v>8</v>
      </c>
      <c r="D14" s="26" t="s">
        <v>3</v>
      </c>
      <c r="E14" s="26"/>
      <c r="F14" s="162">
        <v>0.03</v>
      </c>
      <c r="G14" s="197" t="s">
        <v>71</v>
      </c>
      <c r="H14" s="90" t="s">
        <v>94</v>
      </c>
      <c r="I14" s="72">
        <f>ROUND($I$8*F14,2)</f>
        <v>96.02</v>
      </c>
      <c r="J14" s="71" t="s">
        <v>94</v>
      </c>
      <c r="K14" s="91">
        <f>ROUND($K$8*F14,2)</f>
        <v>112.87</v>
      </c>
    </row>
    <row r="15" spans="2:11" s="2" customFormat="1" x14ac:dyDescent="0.25">
      <c r="B15" s="3"/>
      <c r="C15" s="4">
        <v>9</v>
      </c>
      <c r="D15" s="26" t="s">
        <v>4</v>
      </c>
      <c r="E15" s="26"/>
      <c r="F15" s="162">
        <v>1.5299999999999999E-2</v>
      </c>
      <c r="G15" s="197" t="s">
        <v>72</v>
      </c>
      <c r="H15" s="90" t="s">
        <v>94</v>
      </c>
      <c r="I15" s="72">
        <f>ROUND($I$8*F15,2)</f>
        <v>48.97</v>
      </c>
      <c r="J15" s="71" t="s">
        <v>94</v>
      </c>
      <c r="K15" s="91">
        <f>ROUND($K$8*F15,2)</f>
        <v>57.56</v>
      </c>
    </row>
    <row r="16" spans="2:11" s="2" customFormat="1" x14ac:dyDescent="0.25">
      <c r="B16" s="3"/>
      <c r="C16" s="4">
        <v>10</v>
      </c>
      <c r="D16" s="29" t="s">
        <v>90</v>
      </c>
      <c r="E16" s="29"/>
      <c r="F16" s="170">
        <f>SUM(F12:F15)</f>
        <v>0.30859999999999999</v>
      </c>
      <c r="G16" s="198" t="s">
        <v>73</v>
      </c>
      <c r="H16" s="122" t="s">
        <v>94</v>
      </c>
      <c r="I16" s="129">
        <f>ROUND($I$8*F16,2)</f>
        <v>987.71</v>
      </c>
      <c r="J16" s="124" t="s">
        <v>94</v>
      </c>
      <c r="K16" s="130">
        <f>ROUND($K$8*F16,2)</f>
        <v>1161.01</v>
      </c>
    </row>
    <row r="17" spans="2:11" s="2" customFormat="1" x14ac:dyDescent="0.25">
      <c r="B17" s="169" t="s">
        <v>54</v>
      </c>
      <c r="C17" s="16"/>
      <c r="D17" s="171" t="s">
        <v>92</v>
      </c>
      <c r="E17" s="172"/>
      <c r="F17" s="173"/>
      <c r="G17" s="199"/>
      <c r="H17" s="174"/>
      <c r="I17" s="175"/>
      <c r="J17" s="176"/>
      <c r="K17" s="177"/>
    </row>
    <row r="18" spans="2:11" s="2" customFormat="1" x14ac:dyDescent="0.25">
      <c r="B18" s="21" t="s">
        <v>55</v>
      </c>
      <c r="C18" s="4">
        <v>11</v>
      </c>
      <c r="D18" s="26" t="s">
        <v>90</v>
      </c>
      <c r="E18" s="26"/>
      <c r="F18" s="162">
        <f>F16-0.94%</f>
        <v>0.29920000000000002</v>
      </c>
      <c r="G18" s="197" t="s">
        <v>74</v>
      </c>
      <c r="H18" s="90" t="s">
        <v>94</v>
      </c>
      <c r="I18" s="72">
        <f>ROUND($I$8*F18,2)</f>
        <v>957.62</v>
      </c>
      <c r="J18" s="71" t="s">
        <v>94</v>
      </c>
      <c r="K18" s="91">
        <f>ROUND($K$8*F18,2)</f>
        <v>1125.6500000000001</v>
      </c>
    </row>
    <row r="19" spans="2:11" s="2" customFormat="1" ht="6" customHeight="1" x14ac:dyDescent="0.25">
      <c r="B19" s="3"/>
      <c r="F19" s="163"/>
      <c r="G19" s="200"/>
      <c r="H19" s="89"/>
      <c r="I19" s="17"/>
      <c r="J19" s="37"/>
      <c r="K19" s="87"/>
    </row>
    <row r="20" spans="2:11" s="2" customFormat="1" ht="15.75" thickBot="1" x14ac:dyDescent="0.3">
      <c r="B20" s="45" t="s">
        <v>0</v>
      </c>
      <c r="C20" s="46">
        <v>12</v>
      </c>
      <c r="D20" s="47" t="s">
        <v>56</v>
      </c>
      <c r="E20" s="6"/>
      <c r="F20" s="164"/>
      <c r="G20" s="201" t="s">
        <v>75</v>
      </c>
      <c r="H20" s="118" t="s">
        <v>94</v>
      </c>
      <c r="I20" s="49">
        <f>ROUND((I8+I18)*2,2)</f>
        <v>8316.44</v>
      </c>
      <c r="J20" s="48" t="s">
        <v>94</v>
      </c>
      <c r="K20" s="119">
        <f>ROUND((K8+K18)*2,2)</f>
        <v>9775.7000000000007</v>
      </c>
    </row>
    <row r="21" spans="2:11" s="2" customFormat="1" ht="12.75" customHeight="1" thickBot="1" x14ac:dyDescent="0.3">
      <c r="B21" s="3"/>
      <c r="D21" s="43"/>
      <c r="E21" s="43"/>
      <c r="F21" s="44"/>
      <c r="G21" s="202"/>
      <c r="H21" s="88"/>
      <c r="I21" s="54"/>
      <c r="J21" s="4"/>
      <c r="K21" s="147"/>
    </row>
    <row r="22" spans="2:11" s="2" customFormat="1" ht="18" customHeight="1" x14ac:dyDescent="0.25">
      <c r="B22" s="58" t="s">
        <v>6</v>
      </c>
      <c r="C22" s="59">
        <v>13</v>
      </c>
      <c r="D22" s="60" t="s">
        <v>97</v>
      </c>
      <c r="E22" s="61"/>
      <c r="F22" s="157"/>
      <c r="G22" s="203" t="s">
        <v>104</v>
      </c>
      <c r="H22" s="120"/>
      <c r="I22" s="63">
        <f>ROUND(((I8+I16)*12+I20)/12,2)</f>
        <v>4881.3500000000004</v>
      </c>
      <c r="J22" s="62"/>
      <c r="K22" s="121">
        <f>ROUND(((K8+K16)*12+K20)/12,2)</f>
        <v>5737.85</v>
      </c>
    </row>
    <row r="23" spans="2:11" s="2" customFormat="1" ht="6" customHeight="1" x14ac:dyDescent="0.25">
      <c r="B23" s="3"/>
      <c r="C23" s="4"/>
      <c r="F23" s="155"/>
      <c r="G23" s="192"/>
      <c r="H23" s="88"/>
      <c r="I23" s="17"/>
      <c r="J23" s="35"/>
      <c r="K23" s="87"/>
    </row>
    <row r="24" spans="2:11" s="2" customFormat="1" x14ac:dyDescent="0.25">
      <c r="B24" s="3" t="s">
        <v>8</v>
      </c>
      <c r="C24" s="4">
        <v>14</v>
      </c>
      <c r="D24" s="2" t="s">
        <v>9</v>
      </c>
      <c r="F24" s="155">
        <v>365</v>
      </c>
      <c r="G24" s="192"/>
      <c r="H24" s="88"/>
      <c r="I24" s="17">
        <v>365</v>
      </c>
      <c r="J24" s="35"/>
      <c r="K24" s="87">
        <v>365</v>
      </c>
    </row>
    <row r="25" spans="2:11" s="2" customFormat="1" x14ac:dyDescent="0.25">
      <c r="B25" s="3"/>
      <c r="C25" s="4">
        <v>15</v>
      </c>
      <c r="D25" s="26" t="s">
        <v>10</v>
      </c>
      <c r="E25" s="26"/>
      <c r="F25" s="158">
        <v>52</v>
      </c>
      <c r="G25" s="196" t="s">
        <v>76</v>
      </c>
      <c r="H25" s="90"/>
      <c r="I25" s="72">
        <f>F25*2</f>
        <v>104</v>
      </c>
      <c r="J25" s="71"/>
      <c r="K25" s="91">
        <f>F25*2</f>
        <v>104</v>
      </c>
    </row>
    <row r="26" spans="2:11" s="2" customFormat="1" x14ac:dyDescent="0.25">
      <c r="B26" s="3"/>
      <c r="C26" s="4">
        <v>16</v>
      </c>
      <c r="D26" s="26" t="s">
        <v>134</v>
      </c>
      <c r="E26" s="26"/>
      <c r="F26" s="187">
        <v>14</v>
      </c>
      <c r="G26" s="196"/>
      <c r="H26" s="90"/>
      <c r="I26" s="72">
        <f>F26</f>
        <v>14</v>
      </c>
      <c r="J26" s="71"/>
      <c r="K26" s="91">
        <f>F26</f>
        <v>14</v>
      </c>
    </row>
    <row r="27" spans="2:11" s="2" customFormat="1" ht="15" x14ac:dyDescent="0.25">
      <c r="B27" s="3"/>
      <c r="C27" s="4">
        <v>17</v>
      </c>
      <c r="D27" s="27" t="s">
        <v>11</v>
      </c>
      <c r="E27" s="27"/>
      <c r="F27" s="159"/>
      <c r="G27" s="196" t="s">
        <v>102</v>
      </c>
      <c r="H27" s="90"/>
      <c r="I27" s="73">
        <f>I24-I25-I26</f>
        <v>247</v>
      </c>
      <c r="J27" s="71"/>
      <c r="K27" s="92">
        <f>K24-K25-K26</f>
        <v>247</v>
      </c>
    </row>
    <row r="28" spans="2:11" s="2" customFormat="1" x14ac:dyDescent="0.25">
      <c r="B28" s="3"/>
      <c r="C28" s="4">
        <v>18</v>
      </c>
      <c r="D28" s="26" t="s">
        <v>12</v>
      </c>
      <c r="E28" s="26"/>
      <c r="F28" s="187">
        <v>25</v>
      </c>
      <c r="G28" s="196"/>
      <c r="H28" s="90"/>
      <c r="I28" s="72">
        <f>F28</f>
        <v>25</v>
      </c>
      <c r="J28" s="71"/>
      <c r="K28" s="91">
        <f>F28</f>
        <v>25</v>
      </c>
    </row>
    <row r="29" spans="2:11" s="2" customFormat="1" x14ac:dyDescent="0.25">
      <c r="B29" s="3"/>
      <c r="C29" s="4" t="s">
        <v>131</v>
      </c>
      <c r="D29" s="26" t="s">
        <v>133</v>
      </c>
      <c r="E29" s="26"/>
      <c r="F29" s="158">
        <v>12.3</v>
      </c>
      <c r="G29" s="196"/>
      <c r="H29" s="90"/>
      <c r="I29" s="72">
        <f>F29</f>
        <v>12.3</v>
      </c>
      <c r="J29" s="71"/>
      <c r="K29" s="91">
        <f>F29</f>
        <v>12.3</v>
      </c>
    </row>
    <row r="30" spans="2:11" s="2" customFormat="1" x14ac:dyDescent="0.25">
      <c r="B30" s="3"/>
      <c r="C30" s="4" t="s">
        <v>130</v>
      </c>
      <c r="D30" s="26" t="s">
        <v>132</v>
      </c>
      <c r="E30" s="26"/>
      <c r="F30" s="187">
        <v>0</v>
      </c>
      <c r="G30" s="196"/>
      <c r="H30" s="90"/>
      <c r="I30" s="72">
        <f>F30</f>
        <v>0</v>
      </c>
      <c r="J30" s="71"/>
      <c r="K30" s="91">
        <f>F30</f>
        <v>0</v>
      </c>
    </row>
    <row r="31" spans="2:11" s="2" customFormat="1" ht="15" x14ac:dyDescent="0.25">
      <c r="B31" s="3"/>
      <c r="C31" s="4">
        <v>20</v>
      </c>
      <c r="D31" s="27" t="s">
        <v>13</v>
      </c>
      <c r="E31" s="27"/>
      <c r="F31" s="159"/>
      <c r="G31" s="196" t="s">
        <v>77</v>
      </c>
      <c r="H31" s="90"/>
      <c r="I31" s="73">
        <f>I27-I28-I29-I30</f>
        <v>209.7</v>
      </c>
      <c r="J31" s="71"/>
      <c r="K31" s="92">
        <f>K27-K28-K29-K30</f>
        <v>209.7</v>
      </c>
    </row>
    <row r="32" spans="2:11" s="2" customFormat="1" ht="9" customHeight="1" x14ac:dyDescent="0.25">
      <c r="B32" s="3"/>
      <c r="D32" s="29"/>
      <c r="E32" s="29"/>
      <c r="F32" s="153"/>
      <c r="G32" s="198"/>
      <c r="H32" s="122"/>
      <c r="I32" s="129"/>
      <c r="J32" s="124"/>
      <c r="K32" s="130"/>
    </row>
    <row r="33" spans="2:11" s="2" customFormat="1" x14ac:dyDescent="0.25">
      <c r="B33" s="3" t="s">
        <v>14</v>
      </c>
      <c r="C33" s="4">
        <v>21</v>
      </c>
      <c r="D33" s="30" t="s">
        <v>15</v>
      </c>
      <c r="E33" s="30"/>
      <c r="F33" s="188">
        <v>8</v>
      </c>
      <c r="G33" s="204"/>
      <c r="H33" s="131"/>
      <c r="I33" s="132">
        <f>F33</f>
        <v>8</v>
      </c>
      <c r="J33" s="133"/>
      <c r="K33" s="134">
        <f>F33</f>
        <v>8</v>
      </c>
    </row>
    <row r="34" spans="2:11" s="2" customFormat="1" x14ac:dyDescent="0.25">
      <c r="B34" s="3"/>
      <c r="C34" s="4">
        <v>22</v>
      </c>
      <c r="D34" s="26" t="s">
        <v>42</v>
      </c>
      <c r="E34" s="26"/>
      <c r="F34" s="158"/>
      <c r="G34" s="196" t="s">
        <v>78</v>
      </c>
      <c r="H34" s="90"/>
      <c r="I34" s="72">
        <f>ROUND(I31*I33,2)</f>
        <v>1677.6</v>
      </c>
      <c r="J34" s="71"/>
      <c r="K34" s="91">
        <f>ROUND(K31*K33,2)</f>
        <v>1677.6</v>
      </c>
    </row>
    <row r="35" spans="2:11" s="2" customFormat="1" ht="15.75" thickBot="1" x14ac:dyDescent="0.3">
      <c r="B35" s="3"/>
      <c r="C35" s="4">
        <v>23</v>
      </c>
      <c r="D35" s="26" t="s">
        <v>43</v>
      </c>
      <c r="E35" s="29"/>
      <c r="F35" s="153"/>
      <c r="G35" s="198" t="s">
        <v>79</v>
      </c>
      <c r="H35" s="122"/>
      <c r="I35" s="123">
        <f>ROUND(I34/12,2)</f>
        <v>139.80000000000001</v>
      </c>
      <c r="J35" s="124"/>
      <c r="K35" s="125">
        <f>ROUND(K31/K24*30.4167*8,2)</f>
        <v>139.80000000000001</v>
      </c>
    </row>
    <row r="36" spans="2:11" s="2" customFormat="1" ht="12.75" customHeight="1" thickBot="1" x14ac:dyDescent="0.3">
      <c r="B36" s="3"/>
      <c r="C36" s="4"/>
      <c r="D36" s="29"/>
      <c r="E36" s="10" t="s">
        <v>93</v>
      </c>
      <c r="F36" s="148" t="s">
        <v>62</v>
      </c>
      <c r="G36" s="205"/>
      <c r="H36" s="126"/>
      <c r="I36" s="116"/>
      <c r="J36" s="127"/>
      <c r="K36" s="117"/>
    </row>
    <row r="37" spans="2:11" s="2" customFormat="1" x14ac:dyDescent="0.25">
      <c r="B37" s="3" t="s">
        <v>16</v>
      </c>
      <c r="C37" s="4">
        <v>24</v>
      </c>
      <c r="D37" s="30" t="s">
        <v>63</v>
      </c>
      <c r="E37" s="128">
        <v>8</v>
      </c>
      <c r="F37" s="188">
        <v>8</v>
      </c>
      <c r="G37" s="197" t="s">
        <v>105</v>
      </c>
      <c r="H37" s="90"/>
      <c r="I37" s="72">
        <f t="shared" ref="I37:I43" si="0">ROUND(F37*$I$33,2)</f>
        <v>64</v>
      </c>
      <c r="J37" s="71"/>
      <c r="K37" s="91">
        <f t="shared" ref="K37:K43" si="1">ROUND(F37*$K$33,2)</f>
        <v>64</v>
      </c>
    </row>
    <row r="38" spans="2:11" s="2" customFormat="1" x14ac:dyDescent="0.25">
      <c r="B38" s="15" t="s">
        <v>41</v>
      </c>
      <c r="C38" s="4">
        <v>25</v>
      </c>
      <c r="D38" s="26" t="s">
        <v>17</v>
      </c>
      <c r="E38" s="28">
        <v>2</v>
      </c>
      <c r="F38" s="187">
        <v>2</v>
      </c>
      <c r="G38" s="197" t="s">
        <v>106</v>
      </c>
      <c r="H38" s="90"/>
      <c r="I38" s="72">
        <f t="shared" si="0"/>
        <v>16</v>
      </c>
      <c r="J38" s="71"/>
      <c r="K38" s="91">
        <f t="shared" si="1"/>
        <v>16</v>
      </c>
    </row>
    <row r="39" spans="2:11" s="2" customFormat="1" x14ac:dyDescent="0.25">
      <c r="B39" s="3"/>
      <c r="C39" s="4">
        <v>26</v>
      </c>
      <c r="D39" s="26" t="s">
        <v>18</v>
      </c>
      <c r="E39" s="28">
        <v>2</v>
      </c>
      <c r="F39" s="187">
        <v>2</v>
      </c>
      <c r="G39" s="197" t="s">
        <v>107</v>
      </c>
      <c r="H39" s="90"/>
      <c r="I39" s="72">
        <f t="shared" si="0"/>
        <v>16</v>
      </c>
      <c r="J39" s="71"/>
      <c r="K39" s="91">
        <f t="shared" si="1"/>
        <v>16</v>
      </c>
    </row>
    <row r="40" spans="2:11" s="2" customFormat="1" x14ac:dyDescent="0.25">
      <c r="B40" s="3"/>
      <c r="C40" s="4">
        <v>27</v>
      </c>
      <c r="D40" s="26" t="s">
        <v>19</v>
      </c>
      <c r="E40" s="28">
        <v>8</v>
      </c>
      <c r="F40" s="187">
        <v>8</v>
      </c>
      <c r="G40" s="197" t="s">
        <v>108</v>
      </c>
      <c r="H40" s="90"/>
      <c r="I40" s="72">
        <f t="shared" si="0"/>
        <v>64</v>
      </c>
      <c r="J40" s="71"/>
      <c r="K40" s="91">
        <f t="shared" si="1"/>
        <v>64</v>
      </c>
    </row>
    <row r="41" spans="2:11" s="2" customFormat="1" x14ac:dyDescent="0.25">
      <c r="B41" s="3"/>
      <c r="C41" s="4">
        <v>28</v>
      </c>
      <c r="D41" s="26" t="s">
        <v>112</v>
      </c>
      <c r="E41" s="28">
        <v>3</v>
      </c>
      <c r="F41" s="187">
        <v>3</v>
      </c>
      <c r="G41" s="197" t="s">
        <v>109</v>
      </c>
      <c r="H41" s="90"/>
      <c r="I41" s="72">
        <f t="shared" si="0"/>
        <v>24</v>
      </c>
      <c r="J41" s="71"/>
      <c r="K41" s="91">
        <f t="shared" si="1"/>
        <v>24</v>
      </c>
    </row>
    <row r="42" spans="2:11" s="2" customFormat="1" x14ac:dyDescent="0.25">
      <c r="B42" s="3"/>
      <c r="C42" s="4">
        <v>29</v>
      </c>
      <c r="D42" s="26" t="s">
        <v>20</v>
      </c>
      <c r="E42" s="28">
        <v>5</v>
      </c>
      <c r="F42" s="187">
        <v>5</v>
      </c>
      <c r="G42" s="197" t="s">
        <v>110</v>
      </c>
      <c r="H42" s="90"/>
      <c r="I42" s="72">
        <f t="shared" si="0"/>
        <v>40</v>
      </c>
      <c r="J42" s="71"/>
      <c r="K42" s="91">
        <f t="shared" si="1"/>
        <v>40</v>
      </c>
    </row>
    <row r="43" spans="2:11" s="2" customFormat="1" x14ac:dyDescent="0.25">
      <c r="B43" s="3"/>
      <c r="C43" s="4">
        <v>30</v>
      </c>
      <c r="D43" s="26" t="s">
        <v>24</v>
      </c>
      <c r="E43" s="28">
        <v>10</v>
      </c>
      <c r="F43" s="187">
        <v>10</v>
      </c>
      <c r="G43" s="197" t="s">
        <v>111</v>
      </c>
      <c r="H43" s="90"/>
      <c r="I43" s="72">
        <f t="shared" si="0"/>
        <v>80</v>
      </c>
      <c r="J43" s="71"/>
      <c r="K43" s="91">
        <f t="shared" si="1"/>
        <v>80</v>
      </c>
    </row>
    <row r="44" spans="2:11" s="2" customFormat="1" ht="15" x14ac:dyDescent="0.25">
      <c r="B44" s="3"/>
      <c r="C44" s="4">
        <v>31</v>
      </c>
      <c r="D44" s="26" t="s">
        <v>45</v>
      </c>
      <c r="E44" s="26"/>
      <c r="F44" s="152">
        <f>I44/I34</f>
        <v>0.1812</v>
      </c>
      <c r="G44" s="197" t="s">
        <v>91</v>
      </c>
      <c r="H44" s="90"/>
      <c r="I44" s="72">
        <f>ROUND(SUM(I37:I43),2)</f>
        <v>304</v>
      </c>
      <c r="J44" s="71"/>
      <c r="K44" s="91">
        <f>ROUND(SUM(K37:K43),2)</f>
        <v>304</v>
      </c>
    </row>
    <row r="45" spans="2:11" s="2" customFormat="1" ht="15" x14ac:dyDescent="0.25">
      <c r="B45" s="3"/>
      <c r="C45" s="4">
        <v>32</v>
      </c>
      <c r="D45" s="26" t="s">
        <v>46</v>
      </c>
      <c r="E45" s="26"/>
      <c r="F45" s="152">
        <f>F44</f>
        <v>0.1812</v>
      </c>
      <c r="G45" s="197" t="s">
        <v>103</v>
      </c>
      <c r="H45" s="90"/>
      <c r="I45" s="73">
        <f>ROUND(F45*I35,2)</f>
        <v>25.33</v>
      </c>
      <c r="J45" s="71"/>
      <c r="K45" s="92">
        <f>ROUND(F45*K35,2)</f>
        <v>25.33</v>
      </c>
    </row>
    <row r="46" spans="2:11" s="2" customFormat="1" x14ac:dyDescent="0.25">
      <c r="B46" s="3"/>
      <c r="D46" s="29"/>
      <c r="E46" s="29"/>
      <c r="F46" s="153"/>
      <c r="G46" s="198"/>
      <c r="H46" s="135"/>
      <c r="I46" s="129"/>
      <c r="J46" s="136"/>
      <c r="K46" s="130"/>
    </row>
    <row r="47" spans="2:11" s="2" customFormat="1" x14ac:dyDescent="0.25">
      <c r="B47" s="3" t="s">
        <v>21</v>
      </c>
      <c r="C47" s="4">
        <v>33</v>
      </c>
      <c r="D47" s="30" t="s">
        <v>22</v>
      </c>
      <c r="E47" s="30"/>
      <c r="F47" s="154"/>
      <c r="G47" s="204" t="s">
        <v>80</v>
      </c>
      <c r="H47" s="131"/>
      <c r="I47" s="132">
        <f>ROUND(I34-I44,2)</f>
        <v>1373.6</v>
      </c>
      <c r="J47" s="133"/>
      <c r="K47" s="134">
        <f>ROUND(K34-K44,2)</f>
        <v>1373.6</v>
      </c>
    </row>
    <row r="48" spans="2:11" s="2" customFormat="1" ht="14.25" customHeight="1" x14ac:dyDescent="0.25">
      <c r="B48" s="3" t="s">
        <v>0</v>
      </c>
      <c r="C48" s="4">
        <v>34</v>
      </c>
      <c r="D48" s="2" t="s">
        <v>44</v>
      </c>
      <c r="F48" s="155"/>
      <c r="G48" s="192" t="s">
        <v>81</v>
      </c>
      <c r="H48" s="88"/>
      <c r="I48" s="19">
        <f>ROUND(I35-I45,2)</f>
        <v>114.47</v>
      </c>
      <c r="J48" s="35"/>
      <c r="K48" s="93">
        <f>ROUND(K35-K45,2)</f>
        <v>114.47</v>
      </c>
    </row>
    <row r="49" spans="2:14" s="2" customFormat="1" ht="18.75" customHeight="1" x14ac:dyDescent="0.25">
      <c r="B49" s="181" t="s">
        <v>23</v>
      </c>
      <c r="C49" s="182">
        <v>35</v>
      </c>
      <c r="D49" s="183" t="s">
        <v>47</v>
      </c>
      <c r="E49" s="184"/>
      <c r="F49" s="185"/>
      <c r="G49" s="206" t="s">
        <v>82</v>
      </c>
      <c r="H49" s="107" t="s">
        <v>94</v>
      </c>
      <c r="I49" s="104">
        <f>ROUND(I22/I48,2)</f>
        <v>42.64</v>
      </c>
      <c r="J49" s="108" t="s">
        <v>94</v>
      </c>
      <c r="K49" s="106">
        <f>ROUND(K22/K48,2)</f>
        <v>50.13</v>
      </c>
    </row>
    <row r="50" spans="2:14" s="2" customFormat="1" ht="6" customHeight="1" x14ac:dyDescent="0.25">
      <c r="B50" s="3"/>
      <c r="F50" s="4"/>
      <c r="G50" s="192"/>
      <c r="H50" s="109"/>
      <c r="I50" s="54"/>
      <c r="J50" s="38"/>
      <c r="K50" s="87"/>
    </row>
    <row r="51" spans="2:14" s="2" customFormat="1" ht="6.75" customHeight="1" x14ac:dyDescent="0.25">
      <c r="B51" s="3"/>
      <c r="F51" s="4"/>
      <c r="G51" s="192"/>
      <c r="H51" s="109"/>
      <c r="I51" s="54"/>
      <c r="J51" s="38"/>
      <c r="K51" s="87"/>
    </row>
    <row r="52" spans="2:14" s="80" customFormat="1" ht="16.5" customHeight="1" x14ac:dyDescent="0.25">
      <c r="B52" s="75" t="s">
        <v>48</v>
      </c>
      <c r="C52" s="81"/>
      <c r="D52" s="76"/>
      <c r="E52" s="76"/>
      <c r="F52" s="82"/>
      <c r="G52" s="220"/>
      <c r="H52" s="110"/>
      <c r="I52" s="83"/>
      <c r="J52" s="82"/>
      <c r="K52" s="100"/>
    </row>
    <row r="53" spans="2:14" s="2" customFormat="1" ht="5.25" customHeight="1" x14ac:dyDescent="0.25">
      <c r="B53" s="3"/>
      <c r="F53" s="4"/>
      <c r="G53" s="192"/>
      <c r="H53" s="109"/>
      <c r="I53" s="54"/>
      <c r="J53" s="38"/>
      <c r="K53" s="87"/>
    </row>
    <row r="54" spans="2:14" s="2" customFormat="1" ht="15.75" thickBot="1" x14ac:dyDescent="0.3">
      <c r="B54" s="55" t="s">
        <v>25</v>
      </c>
      <c r="C54" s="7"/>
      <c r="D54" s="7" t="s">
        <v>0</v>
      </c>
      <c r="E54" s="6"/>
      <c r="F54" s="56"/>
      <c r="G54" s="201"/>
      <c r="H54" s="111"/>
      <c r="I54" s="97" t="s">
        <v>0</v>
      </c>
      <c r="J54" s="96"/>
      <c r="K54" s="93" t="s">
        <v>0</v>
      </c>
    </row>
    <row r="55" spans="2:14" s="2" customFormat="1" ht="15" thickBot="1" x14ac:dyDescent="0.3">
      <c r="B55" s="8" t="s">
        <v>26</v>
      </c>
      <c r="D55" s="5"/>
      <c r="E55" s="10" t="s">
        <v>93</v>
      </c>
      <c r="F55" s="148" t="s">
        <v>61</v>
      </c>
      <c r="G55" s="209"/>
      <c r="H55" s="113"/>
      <c r="I55" s="20"/>
      <c r="J55" s="114"/>
      <c r="K55" s="115"/>
    </row>
    <row r="56" spans="2:14" s="2" customFormat="1" x14ac:dyDescent="0.25">
      <c r="B56" s="3"/>
      <c r="C56" s="2">
        <v>36</v>
      </c>
      <c r="D56" s="2" t="s">
        <v>95</v>
      </c>
      <c r="E56" s="9">
        <v>7.0000000000000007E-2</v>
      </c>
      <c r="F56" s="189">
        <v>7.0000000000000007E-2</v>
      </c>
      <c r="G56" s="209"/>
      <c r="H56" s="98"/>
      <c r="I56" s="17"/>
      <c r="J56" s="41"/>
      <c r="K56" s="87"/>
      <c r="N56" s="4"/>
    </row>
    <row r="57" spans="2:14" s="2" customFormat="1" x14ac:dyDescent="0.25">
      <c r="B57" s="3"/>
      <c r="C57" s="2">
        <v>37</v>
      </c>
      <c r="D57" s="26" t="s">
        <v>32</v>
      </c>
      <c r="E57" s="22">
        <v>0.15</v>
      </c>
      <c r="F57" s="190">
        <v>0.15</v>
      </c>
      <c r="G57" s="210"/>
      <c r="H57" s="98"/>
      <c r="I57" s="17"/>
      <c r="J57" s="41"/>
      <c r="K57" s="87"/>
    </row>
    <row r="58" spans="2:14" s="2" customFormat="1" x14ac:dyDescent="0.25">
      <c r="B58" s="3"/>
      <c r="C58" s="2">
        <v>38</v>
      </c>
      <c r="D58" s="26" t="s">
        <v>27</v>
      </c>
      <c r="E58" s="22">
        <v>0.05</v>
      </c>
      <c r="F58" s="190">
        <v>0.05</v>
      </c>
      <c r="G58" s="210"/>
      <c r="H58" s="98"/>
      <c r="I58" s="17"/>
      <c r="J58" s="41"/>
      <c r="K58" s="87"/>
    </row>
    <row r="59" spans="2:14" s="2" customFormat="1" x14ac:dyDescent="0.25">
      <c r="B59" s="3"/>
      <c r="C59" s="2">
        <v>39</v>
      </c>
      <c r="D59" s="26" t="s">
        <v>28</v>
      </c>
      <c r="E59" s="22">
        <v>0.08</v>
      </c>
      <c r="F59" s="190">
        <v>0.08</v>
      </c>
      <c r="G59" s="210"/>
      <c r="H59" s="98"/>
      <c r="I59" s="17"/>
      <c r="J59" s="41"/>
      <c r="K59" s="87"/>
    </row>
    <row r="60" spans="2:14" s="2" customFormat="1" x14ac:dyDescent="0.25">
      <c r="B60" s="3"/>
      <c r="C60" s="2">
        <v>40</v>
      </c>
      <c r="D60" s="26" t="s">
        <v>29</v>
      </c>
      <c r="E60" s="22">
        <v>0.1</v>
      </c>
      <c r="F60" s="190">
        <v>0.03</v>
      </c>
      <c r="G60" s="210"/>
      <c r="H60" s="98"/>
      <c r="I60" s="17"/>
      <c r="J60" s="41"/>
      <c r="K60" s="87"/>
    </row>
    <row r="61" spans="2:14" s="2" customFormat="1" x14ac:dyDescent="0.25">
      <c r="B61" s="3"/>
      <c r="C61" s="2">
        <v>41</v>
      </c>
      <c r="D61" s="26" t="s">
        <v>57</v>
      </c>
      <c r="E61" s="22">
        <v>0.05</v>
      </c>
      <c r="F61" s="190">
        <v>0.05</v>
      </c>
      <c r="G61" s="210"/>
      <c r="H61" s="98"/>
      <c r="I61" s="17"/>
      <c r="J61" s="41"/>
      <c r="K61" s="87"/>
    </row>
    <row r="62" spans="2:14" s="2" customFormat="1" x14ac:dyDescent="0.25">
      <c r="B62" s="3"/>
      <c r="C62" s="2">
        <v>42</v>
      </c>
      <c r="D62" s="26" t="s">
        <v>30</v>
      </c>
      <c r="E62" s="22">
        <v>0.01</v>
      </c>
      <c r="F62" s="190">
        <v>0.01</v>
      </c>
      <c r="G62" s="210"/>
      <c r="H62" s="98"/>
      <c r="I62" s="17"/>
      <c r="J62" s="41"/>
      <c r="K62" s="87"/>
    </row>
    <row r="63" spans="2:14" s="2" customFormat="1" x14ac:dyDescent="0.25">
      <c r="B63" s="3"/>
      <c r="C63" s="2">
        <v>43</v>
      </c>
      <c r="D63" s="26" t="s">
        <v>33</v>
      </c>
      <c r="E63" s="22">
        <v>0.02</v>
      </c>
      <c r="F63" s="190">
        <v>0.02</v>
      </c>
      <c r="G63" s="210"/>
      <c r="H63" s="98"/>
      <c r="I63" s="17"/>
      <c r="J63" s="41"/>
      <c r="K63" s="87"/>
    </row>
    <row r="64" spans="2:14" s="2" customFormat="1" x14ac:dyDescent="0.25">
      <c r="B64" s="3"/>
      <c r="C64" s="2">
        <v>44</v>
      </c>
      <c r="D64" s="26" t="s">
        <v>34</v>
      </c>
      <c r="E64" s="22">
        <v>0.02</v>
      </c>
      <c r="F64" s="190">
        <v>0.02</v>
      </c>
      <c r="G64" s="210"/>
      <c r="H64" s="98"/>
      <c r="I64" s="17"/>
      <c r="J64" s="41"/>
      <c r="K64" s="87"/>
    </row>
    <row r="65" spans="2:17" s="2" customFormat="1" x14ac:dyDescent="0.25">
      <c r="B65" s="3"/>
      <c r="C65" s="2">
        <v>45</v>
      </c>
      <c r="D65" s="26" t="s">
        <v>35</v>
      </c>
      <c r="E65" s="22">
        <v>0.01</v>
      </c>
      <c r="F65" s="190">
        <v>0.01</v>
      </c>
      <c r="G65" s="210"/>
      <c r="H65" s="98"/>
      <c r="I65" s="17"/>
      <c r="J65" s="41"/>
      <c r="K65" s="87"/>
    </row>
    <row r="66" spans="2:17" s="2" customFormat="1" x14ac:dyDescent="0.25">
      <c r="B66" s="3"/>
      <c r="C66" s="2">
        <v>46</v>
      </c>
      <c r="D66" s="26" t="s">
        <v>31</v>
      </c>
      <c r="E66" s="22">
        <v>0.02</v>
      </c>
      <c r="F66" s="190">
        <v>0.02</v>
      </c>
      <c r="G66" s="210"/>
      <c r="H66" s="98"/>
      <c r="I66" s="17"/>
      <c r="J66" s="41"/>
      <c r="K66" s="87"/>
    </row>
    <row r="67" spans="2:17" s="2" customFormat="1" x14ac:dyDescent="0.25">
      <c r="B67" s="3"/>
      <c r="C67" s="2">
        <v>47</v>
      </c>
      <c r="D67" s="26" t="s">
        <v>36</v>
      </c>
      <c r="E67" s="22">
        <v>0.02</v>
      </c>
      <c r="F67" s="190">
        <v>0.02</v>
      </c>
      <c r="G67" s="210"/>
      <c r="H67" s="98"/>
      <c r="I67" s="17"/>
      <c r="J67" s="41"/>
      <c r="K67" s="87"/>
    </row>
    <row r="68" spans="2:17" s="2" customFormat="1" x14ac:dyDescent="0.25">
      <c r="B68" s="8" t="s">
        <v>114</v>
      </c>
      <c r="C68" s="2">
        <v>48</v>
      </c>
      <c r="D68" s="26" t="s">
        <v>115</v>
      </c>
      <c r="E68" s="22">
        <v>0.15</v>
      </c>
      <c r="F68" s="190">
        <v>0.15</v>
      </c>
      <c r="G68" s="210"/>
      <c r="H68" s="112"/>
      <c r="I68" s="17"/>
      <c r="J68" s="40"/>
      <c r="K68" s="87"/>
    </row>
    <row r="69" spans="2:17" s="2" customFormat="1" ht="15" x14ac:dyDescent="0.25">
      <c r="B69" s="3"/>
      <c r="C69" s="2">
        <v>49</v>
      </c>
      <c r="D69" s="50" t="s">
        <v>49</v>
      </c>
      <c r="E69" s="51">
        <f>SUM(E56:E68)</f>
        <v>0.75</v>
      </c>
      <c r="F69" s="149">
        <f>SUM(F56:F68)</f>
        <v>0.68</v>
      </c>
      <c r="G69" s="207" t="s">
        <v>83</v>
      </c>
      <c r="H69" s="166" t="s">
        <v>94</v>
      </c>
      <c r="I69" s="53">
        <f>ROUND(F69*I49,2)</f>
        <v>29</v>
      </c>
      <c r="J69" s="52"/>
      <c r="K69" s="167">
        <f>ROUND(F69*K49,2)</f>
        <v>34.090000000000003</v>
      </c>
    </row>
    <row r="70" spans="2:17" s="2" customFormat="1" ht="5.25" customHeight="1" x14ac:dyDescent="0.25">
      <c r="B70" s="3"/>
      <c r="D70" s="16"/>
      <c r="E70" s="42"/>
      <c r="F70" s="42"/>
      <c r="G70" s="208"/>
      <c r="H70" s="98"/>
      <c r="I70" s="54"/>
      <c r="J70" s="9"/>
      <c r="K70" s="87"/>
    </row>
    <row r="71" spans="2:17" s="2" customFormat="1" ht="15" x14ac:dyDescent="0.25">
      <c r="B71" s="55" t="s">
        <v>39</v>
      </c>
      <c r="C71" s="7"/>
      <c r="D71" s="7" t="s">
        <v>0</v>
      </c>
      <c r="E71" s="178"/>
      <c r="F71" s="178"/>
      <c r="G71" s="209"/>
      <c r="H71" s="98"/>
      <c r="I71" s="97" t="s">
        <v>0</v>
      </c>
      <c r="J71" s="9"/>
      <c r="K71" s="93" t="s">
        <v>0</v>
      </c>
    </row>
    <row r="72" spans="2:17" s="2" customFormat="1" x14ac:dyDescent="0.25">
      <c r="B72" s="169"/>
      <c r="C72" s="16">
        <v>50</v>
      </c>
      <c r="D72" s="16" t="s">
        <v>37</v>
      </c>
      <c r="E72" s="42">
        <v>0.05</v>
      </c>
      <c r="F72" s="191">
        <v>0.05</v>
      </c>
      <c r="G72" s="208"/>
      <c r="H72" s="179"/>
      <c r="I72" s="18"/>
      <c r="J72" s="180"/>
      <c r="K72" s="146"/>
    </row>
    <row r="73" spans="2:17" s="2" customFormat="1" x14ac:dyDescent="0.25">
      <c r="B73" s="3"/>
      <c r="C73" s="2">
        <v>51</v>
      </c>
      <c r="D73" s="26" t="s">
        <v>113</v>
      </c>
      <c r="E73" s="22">
        <v>0.05</v>
      </c>
      <c r="F73" s="190">
        <v>0.05</v>
      </c>
      <c r="G73" s="210"/>
      <c r="H73" s="98"/>
      <c r="I73" s="17"/>
      <c r="J73" s="41"/>
      <c r="K73" s="87"/>
      <c r="Q73" s="2" t="s">
        <v>0</v>
      </c>
    </row>
    <row r="74" spans="2:17" s="2" customFormat="1" x14ac:dyDescent="0.25">
      <c r="B74" s="3"/>
      <c r="C74" s="2">
        <v>52</v>
      </c>
      <c r="D74" s="26" t="s">
        <v>38</v>
      </c>
      <c r="E74" s="22">
        <v>0.04</v>
      </c>
      <c r="F74" s="190">
        <v>0.04</v>
      </c>
      <c r="G74" s="210"/>
      <c r="H74" s="98"/>
      <c r="I74" s="17"/>
      <c r="J74" s="41"/>
      <c r="K74" s="87"/>
    </row>
    <row r="75" spans="2:17" s="2" customFormat="1" ht="5.25" customHeight="1" x14ac:dyDescent="0.25">
      <c r="B75" s="3"/>
      <c r="D75" s="29"/>
      <c r="E75" s="137"/>
      <c r="F75" s="150"/>
      <c r="G75" s="194"/>
      <c r="H75" s="98"/>
      <c r="I75" s="17"/>
      <c r="J75" s="41"/>
      <c r="K75" s="87"/>
    </row>
    <row r="76" spans="2:17" s="2" customFormat="1" ht="15" x14ac:dyDescent="0.25">
      <c r="B76" s="3"/>
      <c r="C76" s="2">
        <v>53</v>
      </c>
      <c r="D76" s="140" t="s">
        <v>50</v>
      </c>
      <c r="E76" s="141">
        <f>SUM(E72:E75)</f>
        <v>0.14000000000000001</v>
      </c>
      <c r="F76" s="151">
        <f>SUM(F72:F75)</f>
        <v>0.14000000000000001</v>
      </c>
      <c r="G76" s="211" t="s">
        <v>84</v>
      </c>
      <c r="H76" s="142" t="s">
        <v>94</v>
      </c>
      <c r="I76" s="143">
        <f>ROUND(F76*I49,2)</f>
        <v>5.97</v>
      </c>
      <c r="J76" s="144"/>
      <c r="K76" s="145">
        <f>ROUND(F76*K49,2)</f>
        <v>7.02</v>
      </c>
    </row>
    <row r="77" spans="2:17" s="2" customFormat="1" ht="6.75" customHeight="1" x14ac:dyDescent="0.25">
      <c r="B77" s="3"/>
      <c r="D77" s="29"/>
      <c r="E77" s="137"/>
      <c r="F77" s="150"/>
      <c r="G77" s="194"/>
      <c r="H77" s="138"/>
      <c r="I77" s="129"/>
      <c r="J77" s="139"/>
      <c r="K77" s="130"/>
    </row>
    <row r="78" spans="2:17" s="2" customFormat="1" ht="15" x14ac:dyDescent="0.25">
      <c r="B78" s="3"/>
      <c r="C78" s="2">
        <v>54</v>
      </c>
      <c r="D78" s="140" t="s">
        <v>51</v>
      </c>
      <c r="E78" s="141">
        <f>E76+E69</f>
        <v>0.89</v>
      </c>
      <c r="F78" s="151">
        <f>F76+F69</f>
        <v>0.82</v>
      </c>
      <c r="G78" s="211" t="s">
        <v>85</v>
      </c>
      <c r="H78" s="142" t="s">
        <v>94</v>
      </c>
      <c r="I78" s="143">
        <f>ROUND(F78*I49,2)</f>
        <v>34.96</v>
      </c>
      <c r="J78" s="144"/>
      <c r="K78" s="145">
        <f>ROUND(F78*K49,2)</f>
        <v>41.11</v>
      </c>
    </row>
    <row r="79" spans="2:17" s="2" customFormat="1" ht="9" customHeight="1" x14ac:dyDescent="0.25">
      <c r="B79" s="3"/>
      <c r="F79" s="4"/>
      <c r="G79" s="192"/>
      <c r="H79" s="88"/>
      <c r="I79" s="54"/>
      <c r="J79" s="4"/>
      <c r="K79" s="87"/>
    </row>
    <row r="80" spans="2:17" s="80" customFormat="1" ht="16.5" customHeight="1" x14ac:dyDescent="0.25">
      <c r="B80" s="75" t="s">
        <v>99</v>
      </c>
      <c r="C80" s="76"/>
      <c r="D80" s="77"/>
      <c r="E80" s="76"/>
      <c r="F80" s="165"/>
      <c r="G80" s="212" t="s">
        <v>86</v>
      </c>
      <c r="H80" s="99" t="s">
        <v>94</v>
      </c>
      <c r="I80" s="78">
        <f>I49+I78</f>
        <v>77.599999999999994</v>
      </c>
      <c r="J80" s="79"/>
      <c r="K80" s="100">
        <f>ROUND(K49+K78,2)</f>
        <v>91.24</v>
      </c>
    </row>
    <row r="81" spans="2:11" s="2" customFormat="1" ht="5.25" customHeight="1" x14ac:dyDescent="0.25">
      <c r="B81" s="3"/>
      <c r="F81" s="4"/>
      <c r="G81" s="192"/>
      <c r="H81" s="88"/>
      <c r="I81" s="54"/>
      <c r="J81" s="4"/>
      <c r="K81" s="87"/>
    </row>
    <row r="82" spans="2:11" s="2" customFormat="1" ht="15" x14ac:dyDescent="0.25">
      <c r="B82" s="181" t="s">
        <v>58</v>
      </c>
      <c r="C82" s="184"/>
      <c r="D82" s="183"/>
      <c r="E82" s="184"/>
      <c r="F82" s="185"/>
      <c r="G82" s="206" t="s">
        <v>88</v>
      </c>
      <c r="H82" s="103" t="s">
        <v>94</v>
      </c>
      <c r="I82" s="104">
        <f>ROUND(I80*I48,2)</f>
        <v>8882.8700000000008</v>
      </c>
      <c r="J82" s="217"/>
      <c r="K82" s="106">
        <f>ROUND(K80*K48,2)</f>
        <v>10444.24</v>
      </c>
    </row>
    <row r="83" spans="2:11" s="2" customFormat="1" ht="5.25" customHeight="1" x14ac:dyDescent="0.25">
      <c r="B83" s="3"/>
      <c r="F83" s="4"/>
      <c r="G83" s="192"/>
      <c r="H83" s="88"/>
      <c r="I83" s="54"/>
      <c r="J83" s="218"/>
      <c r="K83" s="87"/>
    </row>
    <row r="84" spans="2:11" s="2" customFormat="1" ht="15.75" thickBot="1" x14ac:dyDescent="0.3">
      <c r="B84" s="23" t="s">
        <v>59</v>
      </c>
      <c r="C84" s="24"/>
      <c r="D84" s="25"/>
      <c r="E84" s="24"/>
      <c r="F84" s="156"/>
      <c r="G84" s="213" t="s">
        <v>87</v>
      </c>
      <c r="H84" s="101" t="s">
        <v>94</v>
      </c>
      <c r="I84" s="94">
        <f>ROUND(I80*I47,2)</f>
        <v>106591.36</v>
      </c>
      <c r="J84" s="219"/>
      <c r="K84" s="95">
        <f>ROUND(K80*K47,2)</f>
        <v>125327.26</v>
      </c>
    </row>
    <row r="86" spans="2:11" ht="3.75" customHeight="1" x14ac:dyDescent="0.2"/>
    <row r="87" spans="2:11" x14ac:dyDescent="0.2">
      <c r="B87" s="214" t="s">
        <v>138</v>
      </c>
      <c r="D87" s="214" t="s">
        <v>139</v>
      </c>
      <c r="E87" s="31" t="s">
        <v>89</v>
      </c>
      <c r="F87" s="70"/>
      <c r="G87" s="31" t="s">
        <v>125</v>
      </c>
    </row>
    <row r="88" spans="2:11" ht="3" customHeight="1" x14ac:dyDescent="0.2">
      <c r="E88" s="31"/>
    </row>
    <row r="89" spans="2:11" ht="36.75" customHeight="1" x14ac:dyDescent="0.2">
      <c r="B89" s="227" t="s">
        <v>150</v>
      </c>
      <c r="C89" s="227"/>
      <c r="D89" s="227"/>
      <c r="E89" s="227"/>
      <c r="F89" s="227"/>
      <c r="G89" s="227"/>
      <c r="H89" s="227"/>
      <c r="I89" s="227"/>
      <c r="J89" s="227"/>
      <c r="K89" s="227"/>
    </row>
  </sheetData>
  <mergeCells count="5">
    <mergeCell ref="B89:K89"/>
    <mergeCell ref="B3:D3"/>
    <mergeCell ref="F3:K3"/>
    <mergeCell ref="H5:I5"/>
    <mergeCell ref="J5:K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KAT A1</vt:lpstr>
      <vt:lpstr>KAT A2</vt:lpstr>
      <vt:lpstr>KAT B+B1</vt:lpstr>
      <vt:lpstr>KAT_B2</vt:lpstr>
      <vt:lpstr>KAT C</vt:lpstr>
      <vt:lpstr>'KAT A1'!Druckbereich</vt:lpstr>
      <vt:lpstr>'KAT A2'!Druckbereich</vt:lpstr>
      <vt:lpstr>'KAT B+B1'!Druckbereich</vt:lpstr>
      <vt:lpstr>'KAT C'!Druckbereich</vt:lpstr>
      <vt:lpstr>KAT_B2!Druckbereich</vt:lpstr>
    </vt:vector>
  </TitlesOfParts>
  <Company>Tu Graz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Brauneis Helmut</cp:lastModifiedBy>
  <cp:lastPrinted>2023-01-05T13:30:44Z</cp:lastPrinted>
  <dcterms:created xsi:type="dcterms:W3CDTF">2012-01-25T12:08:23Z</dcterms:created>
  <dcterms:modified xsi:type="dcterms:W3CDTF">2023-01-13T12:47:37Z</dcterms:modified>
</cp:coreProperties>
</file>