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mut\Downloads\"/>
    </mc:Choice>
  </mc:AlternateContent>
  <xr:revisionPtr revIDLastSave="0" documentId="8_{15DC2F49-B7F3-4A60-A144-8D9019E0E396}" xr6:coauthVersionLast="47" xr6:coauthVersionMax="47" xr10:uidLastSave="{00000000-0000-0000-0000-000000000000}"/>
  <bookViews>
    <workbookView xWindow="780" yWindow="780" windowWidth="14700" windowHeight="15360" tabRatio="734" xr2:uid="{00000000-000D-0000-FFFF-FFFF00000000}"/>
  </bookViews>
  <sheets>
    <sheet name="KAT A1" sheetId="12" r:id="rId1"/>
    <sheet name="KAT A2" sheetId="13" r:id="rId2"/>
    <sheet name="KAT B+B1" sheetId="15" r:id="rId3"/>
    <sheet name="KAT_B2" sheetId="14" r:id="rId4"/>
    <sheet name="KAT C" sheetId="16" r:id="rId5"/>
  </sheets>
  <definedNames>
    <definedName name="_xlnm.Print_Area" localSheetId="0">'KAT A1'!$A$1:$K$89</definedName>
    <definedName name="_xlnm.Print_Area" localSheetId="1">'KAT A2'!$A$1:$K$89</definedName>
    <definedName name="_xlnm.Print_Area" localSheetId="2">'KAT B+B1'!$A$1:$K$89</definedName>
    <definedName name="_xlnm.Print_Area" localSheetId="4">'KAT C'!$A$1:$K$89</definedName>
    <definedName name="_xlnm.Print_Area" localSheetId="3">KAT_B2!$A$1:$K$89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5" l="1"/>
  <c r="I25" i="12" l="1"/>
  <c r="K24" i="12"/>
  <c r="I24" i="12"/>
  <c r="K30" i="16"/>
  <c r="I30" i="16"/>
  <c r="K30" i="14"/>
  <c r="I30" i="14"/>
  <c r="K30" i="15"/>
  <c r="I30" i="15"/>
  <c r="K30" i="13"/>
  <c r="I30" i="13"/>
  <c r="K30" i="12"/>
  <c r="I30" i="12"/>
  <c r="K8" i="12" l="1"/>
  <c r="F76" i="16" l="1"/>
  <c r="E76" i="16"/>
  <c r="F69" i="16"/>
  <c r="E69" i="16"/>
  <c r="K33" i="16"/>
  <c r="K43" i="16" s="1"/>
  <c r="I33" i="16"/>
  <c r="I43" i="16" s="1"/>
  <c r="K29" i="16"/>
  <c r="I29" i="16"/>
  <c r="K28" i="16"/>
  <c r="I28" i="16"/>
  <c r="K26" i="16"/>
  <c r="I26" i="16"/>
  <c r="K25" i="16"/>
  <c r="I25" i="16"/>
  <c r="F16" i="16"/>
  <c r="F18" i="16" s="1"/>
  <c r="K8" i="16"/>
  <c r="I8" i="16"/>
  <c r="I27" i="16" l="1"/>
  <c r="E78" i="16"/>
  <c r="I16" i="16"/>
  <c r="K27" i="16"/>
  <c r="F78" i="16"/>
  <c r="I9" i="16"/>
  <c r="I10" i="16" s="1"/>
  <c r="I12" i="16"/>
  <c r="I13" i="16"/>
  <c r="I14" i="16"/>
  <c r="I15" i="16"/>
  <c r="K16" i="16"/>
  <c r="I18" i="16"/>
  <c r="I20" i="16" s="1"/>
  <c r="I37" i="16"/>
  <c r="I38" i="16"/>
  <c r="I39" i="16"/>
  <c r="I40" i="16"/>
  <c r="I41" i="16"/>
  <c r="I42" i="16"/>
  <c r="K9" i="16"/>
  <c r="K10" i="16" s="1"/>
  <c r="K12" i="16"/>
  <c r="K13" i="16"/>
  <c r="K14" i="16"/>
  <c r="K15" i="16"/>
  <c r="K18" i="16"/>
  <c r="K20" i="16" s="1"/>
  <c r="K37" i="16"/>
  <c r="K38" i="16"/>
  <c r="K39" i="16"/>
  <c r="K40" i="16"/>
  <c r="K41" i="16"/>
  <c r="K42" i="16"/>
  <c r="I22" i="16" l="1"/>
  <c r="K31" i="16"/>
  <c r="K34" i="16" s="1"/>
  <c r="I31" i="16"/>
  <c r="I34" i="16" s="1"/>
  <c r="I35" i="16" s="1"/>
  <c r="K22" i="16"/>
  <c r="I44" i="16"/>
  <c r="K44" i="16"/>
  <c r="K47" i="16" l="1"/>
  <c r="K35" i="16"/>
  <c r="F44" i="16"/>
  <c r="F45" i="16" s="1"/>
  <c r="I47" i="16"/>
  <c r="K45" i="16" l="1"/>
  <c r="K48" i="16" s="1"/>
  <c r="K49" i="16" s="1"/>
  <c r="I45" i="16"/>
  <c r="I48" i="16" s="1"/>
  <c r="I49" i="16" s="1"/>
  <c r="I69" i="16" s="1"/>
  <c r="F76" i="15"/>
  <c r="E76" i="15"/>
  <c r="F69" i="15"/>
  <c r="E69" i="15"/>
  <c r="K33" i="15"/>
  <c r="K43" i="15" s="1"/>
  <c r="I33" i="15"/>
  <c r="K29" i="15"/>
  <c r="I29" i="15"/>
  <c r="K28" i="15"/>
  <c r="I28" i="15"/>
  <c r="K26" i="15"/>
  <c r="I26" i="15"/>
  <c r="K25" i="15"/>
  <c r="I25" i="15"/>
  <c r="F16" i="15"/>
  <c r="F18" i="15" s="1"/>
  <c r="K8" i="15"/>
  <c r="I8" i="15"/>
  <c r="I16" i="15" s="1"/>
  <c r="K27" i="15" l="1"/>
  <c r="K31" i="15" s="1"/>
  <c r="K34" i="15" s="1"/>
  <c r="I31" i="15"/>
  <c r="I34" i="15" s="1"/>
  <c r="I35" i="15" s="1"/>
  <c r="I43" i="15"/>
  <c r="I40" i="15"/>
  <c r="E78" i="15"/>
  <c r="F78" i="15"/>
  <c r="I76" i="16"/>
  <c r="I78" i="16"/>
  <c r="I80" i="16" s="1"/>
  <c r="K78" i="16"/>
  <c r="K80" i="16" s="1"/>
  <c r="K76" i="16"/>
  <c r="K69" i="16"/>
  <c r="I9" i="15"/>
  <c r="I10" i="15" s="1"/>
  <c r="I12" i="15"/>
  <c r="I13" i="15"/>
  <c r="I14" i="15"/>
  <c r="I15" i="15"/>
  <c r="K16" i="15"/>
  <c r="I18" i="15"/>
  <c r="I20" i="15" s="1"/>
  <c r="I22" i="15" s="1"/>
  <c r="I37" i="15"/>
  <c r="I38" i="15"/>
  <c r="I39" i="15"/>
  <c r="I41" i="15"/>
  <c r="I42" i="15"/>
  <c r="K9" i="15"/>
  <c r="K10" i="15" s="1"/>
  <c r="K12" i="15"/>
  <c r="K13" i="15"/>
  <c r="K14" i="15"/>
  <c r="K15" i="15"/>
  <c r="K18" i="15"/>
  <c r="K20" i="15" s="1"/>
  <c r="K37" i="15"/>
  <c r="K38" i="15"/>
  <c r="K39" i="15"/>
  <c r="K40" i="15"/>
  <c r="K41" i="15"/>
  <c r="K42" i="15"/>
  <c r="K35" i="15" l="1"/>
  <c r="I84" i="16"/>
  <c r="I82" i="16"/>
  <c r="K84" i="16"/>
  <c r="K82" i="16"/>
  <c r="K22" i="15"/>
  <c r="I44" i="15"/>
  <c r="K44" i="15"/>
  <c r="K47" i="15" s="1"/>
  <c r="F44" i="15" l="1"/>
  <c r="F45" i="15" s="1"/>
  <c r="I47" i="15"/>
  <c r="K45" i="15" l="1"/>
  <c r="K48" i="15" s="1"/>
  <c r="K49" i="15" s="1"/>
  <c r="I45" i="15"/>
  <c r="I48" i="15" s="1"/>
  <c r="I49" i="15" s="1"/>
  <c r="F76" i="14"/>
  <c r="E76" i="14"/>
  <c r="F69" i="14"/>
  <c r="E69" i="14"/>
  <c r="K33" i="14"/>
  <c r="K43" i="14" s="1"/>
  <c r="I33" i="14"/>
  <c r="I43" i="14" s="1"/>
  <c r="K29" i="14"/>
  <c r="I29" i="14"/>
  <c r="K28" i="14"/>
  <c r="I28" i="14"/>
  <c r="K26" i="14"/>
  <c r="I26" i="14"/>
  <c r="K25" i="14"/>
  <c r="I25" i="14"/>
  <c r="F16" i="14"/>
  <c r="F18" i="14" s="1"/>
  <c r="K8" i="14"/>
  <c r="I8" i="14"/>
  <c r="K27" i="14" l="1"/>
  <c r="K31" i="14" s="1"/>
  <c r="K34" i="14" s="1"/>
  <c r="I16" i="14"/>
  <c r="I27" i="14"/>
  <c r="I31" i="14" s="1"/>
  <c r="I34" i="14" s="1"/>
  <c r="I35" i="14" s="1"/>
  <c r="E78" i="14"/>
  <c r="F78" i="14"/>
  <c r="I76" i="15"/>
  <c r="I78" i="15"/>
  <c r="I80" i="15" s="1"/>
  <c r="I69" i="15"/>
  <c r="K78" i="15"/>
  <c r="K80" i="15" s="1"/>
  <c r="K69" i="15"/>
  <c r="K76" i="15"/>
  <c r="I9" i="14"/>
  <c r="I10" i="14" s="1"/>
  <c r="I12" i="14"/>
  <c r="I13" i="14"/>
  <c r="I14" i="14"/>
  <c r="I15" i="14"/>
  <c r="K16" i="14"/>
  <c r="I18" i="14"/>
  <c r="I20" i="14" s="1"/>
  <c r="I22" i="14" s="1"/>
  <c r="I37" i="14"/>
  <c r="I38" i="14"/>
  <c r="I39" i="14"/>
  <c r="I40" i="14"/>
  <c r="I41" i="14"/>
  <c r="I42" i="14"/>
  <c r="K9" i="14"/>
  <c r="K10" i="14" s="1"/>
  <c r="K12" i="14"/>
  <c r="K13" i="14"/>
  <c r="K14" i="14"/>
  <c r="K15" i="14"/>
  <c r="K18" i="14"/>
  <c r="K20" i="14" s="1"/>
  <c r="K37" i="14"/>
  <c r="K38" i="14"/>
  <c r="K39" i="14"/>
  <c r="K40" i="14"/>
  <c r="K41" i="14"/>
  <c r="K42" i="14"/>
  <c r="K35" i="14" l="1"/>
  <c r="K22" i="14"/>
  <c r="I84" i="15"/>
  <c r="I82" i="15"/>
  <c r="K84" i="15"/>
  <c r="K82" i="15"/>
  <c r="I44" i="14"/>
  <c r="K44" i="14"/>
  <c r="K47" i="14" s="1"/>
  <c r="F44" i="14" l="1"/>
  <c r="F45" i="14" s="1"/>
  <c r="I47" i="14"/>
  <c r="K45" i="14" l="1"/>
  <c r="K48" i="14" s="1"/>
  <c r="K49" i="14" s="1"/>
  <c r="I45" i="14"/>
  <c r="I48" i="14" s="1"/>
  <c r="I49" i="14" s="1"/>
  <c r="I76" i="14" l="1"/>
  <c r="I78" i="14"/>
  <c r="I80" i="14" s="1"/>
  <c r="I69" i="14"/>
  <c r="K78" i="14"/>
  <c r="K80" i="14" s="1"/>
  <c r="K76" i="14"/>
  <c r="K69" i="14"/>
  <c r="F76" i="13"/>
  <c r="F78" i="13" s="1"/>
  <c r="E76" i="13"/>
  <c r="E78" i="13" s="1"/>
  <c r="F69" i="13"/>
  <c r="E69" i="13"/>
  <c r="K33" i="13"/>
  <c r="K43" i="13" s="1"/>
  <c r="I33" i="13"/>
  <c r="I43" i="13" s="1"/>
  <c r="K29" i="13"/>
  <c r="I29" i="13"/>
  <c r="K28" i="13"/>
  <c r="I28" i="13"/>
  <c r="K26" i="13"/>
  <c r="I26" i="13"/>
  <c r="K25" i="13"/>
  <c r="I25" i="13"/>
  <c r="F16" i="13"/>
  <c r="F18" i="13" s="1"/>
  <c r="K8" i="13"/>
  <c r="I8" i="13"/>
  <c r="I16" i="13" s="1"/>
  <c r="I27" i="13" l="1"/>
  <c r="I31" i="13" s="1"/>
  <c r="I34" i="13" s="1"/>
  <c r="I35" i="13" s="1"/>
  <c r="K27" i="13"/>
  <c r="K31" i="13" s="1"/>
  <c r="I84" i="14"/>
  <c r="I82" i="14"/>
  <c r="K84" i="14"/>
  <c r="K82" i="14"/>
  <c r="I9" i="13"/>
  <c r="I10" i="13" s="1"/>
  <c r="I12" i="13"/>
  <c r="I13" i="13"/>
  <c r="I14" i="13"/>
  <c r="I15" i="13"/>
  <c r="K16" i="13"/>
  <c r="I18" i="13"/>
  <c r="I20" i="13" s="1"/>
  <c r="I22" i="13" s="1"/>
  <c r="I37" i="13"/>
  <c r="I38" i="13"/>
  <c r="I39" i="13"/>
  <c r="I40" i="13"/>
  <c r="I41" i="13"/>
  <c r="I42" i="13"/>
  <c r="K9" i="13"/>
  <c r="K10" i="13" s="1"/>
  <c r="K12" i="13"/>
  <c r="K13" i="13"/>
  <c r="K14" i="13"/>
  <c r="K15" i="13"/>
  <c r="K18" i="13"/>
  <c r="K20" i="13" s="1"/>
  <c r="K37" i="13"/>
  <c r="K38" i="13"/>
  <c r="K39" i="13"/>
  <c r="K40" i="13"/>
  <c r="K41" i="13"/>
  <c r="K42" i="13"/>
  <c r="K34" i="13" l="1"/>
  <c r="K35" i="13"/>
  <c r="K22" i="13"/>
  <c r="I44" i="13"/>
  <c r="K44" i="13"/>
  <c r="K47" i="13" l="1"/>
  <c r="F44" i="13"/>
  <c r="F45" i="13" s="1"/>
  <c r="I47" i="13"/>
  <c r="K45" i="13" l="1"/>
  <c r="K48" i="13" s="1"/>
  <c r="K49" i="13" s="1"/>
  <c r="I45" i="13"/>
  <c r="I48" i="13" s="1"/>
  <c r="I49" i="13" s="1"/>
  <c r="I76" i="13" l="1"/>
  <c r="I78" i="13"/>
  <c r="I80" i="13" s="1"/>
  <c r="I69" i="13"/>
  <c r="K78" i="13"/>
  <c r="K80" i="13" s="1"/>
  <c r="K76" i="13"/>
  <c r="K69" i="13"/>
  <c r="K84" i="13" l="1"/>
  <c r="K82" i="13"/>
  <c r="I84" i="13"/>
  <c r="I82" i="13"/>
  <c r="I26" i="12" l="1"/>
  <c r="I8" i="12"/>
  <c r="I27" i="12" l="1"/>
  <c r="K25" i="12"/>
  <c r="K15" i="12"/>
  <c r="K14" i="12"/>
  <c r="K13" i="12"/>
  <c r="K12" i="12"/>
  <c r="K9" i="12"/>
  <c r="K10" i="12" s="1"/>
  <c r="I33" i="12"/>
  <c r="I37" i="12" s="1"/>
  <c r="I15" i="12"/>
  <c r="I14" i="12"/>
  <c r="I13" i="12"/>
  <c r="I12" i="12"/>
  <c r="I9" i="12"/>
  <c r="I10" i="12" s="1"/>
  <c r="I43" i="12" l="1"/>
  <c r="I38" i="12"/>
  <c r="I39" i="12"/>
  <c r="I40" i="12"/>
  <c r="I42" i="12"/>
  <c r="I41" i="12"/>
  <c r="F76" i="12"/>
  <c r="E76" i="12"/>
  <c r="F69" i="12"/>
  <c r="E69" i="12"/>
  <c r="K33" i="12"/>
  <c r="K29" i="12"/>
  <c r="I29" i="12"/>
  <c r="K28" i="12"/>
  <c r="I28" i="12"/>
  <c r="K26" i="12"/>
  <c r="K27" i="12" s="1"/>
  <c r="F16" i="12"/>
  <c r="F18" i="12" s="1"/>
  <c r="K31" i="12" l="1"/>
  <c r="K35" i="12" s="1"/>
  <c r="E78" i="12"/>
  <c r="I31" i="12"/>
  <c r="I34" i="12" s="1"/>
  <c r="F44" i="12" s="1"/>
  <c r="F45" i="12" s="1"/>
  <c r="I44" i="12"/>
  <c r="F78" i="12"/>
  <c r="I18" i="12"/>
  <c r="I20" i="12" s="1"/>
  <c r="K18" i="12"/>
  <c r="K20" i="12" s="1"/>
  <c r="K42" i="12"/>
  <c r="K38" i="12"/>
  <c r="K40" i="12"/>
  <c r="K43" i="12"/>
  <c r="K39" i="12"/>
  <c r="K41" i="12"/>
  <c r="K37" i="12"/>
  <c r="K16" i="12"/>
  <c r="I16" i="12"/>
  <c r="K22" i="12" l="1"/>
  <c r="K34" i="12"/>
  <c r="I47" i="12"/>
  <c r="I35" i="12"/>
  <c r="I22" i="12"/>
  <c r="K44" i="12"/>
  <c r="K45" i="12"/>
  <c r="K48" i="12" s="1"/>
  <c r="K49" i="12" l="1"/>
  <c r="K76" i="12" s="1"/>
  <c r="K47" i="12"/>
  <c r="I45" i="12"/>
  <c r="I48" i="12" s="1"/>
  <c r="I49" i="12" s="1"/>
  <c r="K69" i="12" l="1"/>
  <c r="K78" i="12"/>
  <c r="K80" i="12" s="1"/>
  <c r="K82" i="12" s="1"/>
  <c r="I76" i="12"/>
  <c r="I69" i="12"/>
  <c r="I78" i="12"/>
  <c r="I80" i="12" s="1"/>
  <c r="I84" i="12" l="1"/>
  <c r="I82" i="12"/>
  <c r="K84" i="12"/>
</calcChain>
</file>

<file path=xl/sharedStrings.xml><?xml version="1.0" encoding="utf-8"?>
<sst xmlns="http://schemas.openxmlformats.org/spreadsheetml/2006/main" count="866" uniqueCount="145">
  <si>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</si>
  <si>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</si>
  <si>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</si>
  <si>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</si>
  <si>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</si>
  <si>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</si>
  <si>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</si>
  <si>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</si>
  <si>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</si>
  <si>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</si>
  <si>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</si>
  <si>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</si>
  <si>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</si>
  <si>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</si>
  <si>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</si>
  <si>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</si>
  <si>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</si>
  <si>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</si>
  <si>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</si>
  <si>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</si>
  <si>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</si>
  <si>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</si>
  <si>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</si>
  <si>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</si>
  <si>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</si>
  <si>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</si>
  <si>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</si>
  <si>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</si>
  <si>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</si>
  <si>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</si>
  <si>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</si>
  <si>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</si>
  <si>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</si>
  <si>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</si>
  <si>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</si>
  <si>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</si>
  <si>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</si>
  <si>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</si>
  <si>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</si>
  <si>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</si>
  <si>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</si>
  <si>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</si>
  <si>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</si>
  <si>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</si>
  <si>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</si>
  <si>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</si>
  <si>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</si>
  <si>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</si>
  <si>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</si>
  <si>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</si>
  <si>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</si>
  <si>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</si>
  <si>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</si>
  <si>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</si>
  <si>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</si>
  <si>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</si>
  <si>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</si>
  <si>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EDV und Telefon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</si>
  <si>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</si>
  <si>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</si>
  <si>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</si>
  <si>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</si>
  <si>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</si>
  <si>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</si>
  <si>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</si>
  <si>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</si>
  <si>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</si>
  <si>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</si>
  <si>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</si>
  <si>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</si>
  <si>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</si>
  <si>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</si>
  <si>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</si>
  <si>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</si>
  <si>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</si>
  <si>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</si>
  <si>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</si>
  <si>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</si>
  <si>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</si>
  <si>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</si>
  <si>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</si>
  <si>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</si>
  <si>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</si>
  <si>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</si>
  <si>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</si>
  <si>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</si>
  <si>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</si>
  <si>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</si>
  <si>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</si>
  <si>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</si>
  <si>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</si>
  <si>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</si>
  <si>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</si>
  <si>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</si>
  <si>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</si>
  <si>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</si>
  <si>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</si>
  <si>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</si>
  <si>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</si>
  <si>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</si>
  <si>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</si>
  <si>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</si>
  <si>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</si>
  <si>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</si>
  <si>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</si>
  <si>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</si>
  <si>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</si>
  <si>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</si>
  <si>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</si>
  <si>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</si>
  <si>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</si>
  <si>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</si>
  <si>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</si>
  <si>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>Beispielkalkulation: Verrechnungsstundensatz Leistungskategorie A2</t>
  </si>
  <si>
    <t>Beispielkalkulation: Verrechnungsstundensatz Leistungskategorie B2</t>
  </si>
  <si>
    <t>Beispielkalkulation: Verrechnungsstundensatz Leistungskategorie B und B1</t>
  </si>
  <si>
    <t>Beispielkalkulation: Verrechnungsstundensatz Leistungskategorie C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</si>
  <si>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</si>
  <si>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t xml:space="preserve"> durch den Anwender einzusetzen</t>
  </si>
  <si>
    <t>19 b)</t>
  </si>
  <si>
    <t>19 a)</t>
  </si>
  <si>
    <t>Pflegeurlaub</t>
  </si>
  <si>
    <t>abzüglich Krankenstandstage*</t>
  </si>
  <si>
    <t>abzüglich gesetzliche Feiertage (durchschnittlich)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</si>
  <si>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Experten- und Expertinnentätigkeit, die von Ziviltechniker:innenn erbracht wird, wie Projektleitung, Projektsteuerung, Analytik, Konzeption, Gestaltung, Konstruktion, allgemeine, strategische, ökonomische, ökologische Beratung, Leitung örtl. Bauaufsichten, Vertretung des Auftraggebers und dgl. </t>
    </r>
  </si>
  <si>
    <t>Notwendiger Umsatz je Mitarbeiter:innen und Jahr zuzüglich Mehrwertsteuer</t>
  </si>
  <si>
    <t>Notwendiger Umsatz je Mitarbeiter:innen und Monat zuzüglich Mehrwertsteuer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</si>
  <si>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Ingenieure:innen und Experten:innen für Entwurf, Konstruktion, Bemessung, Projektmanagement, Bauaufsicht, etc. (Experten mit mehr als 
3-jähriger Erfahrung, oberer Bereich der Bandbreite)</t>
    </r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</si>
  <si>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Ingenieure:innen, Konstrukteure:innen, Ausschreiber:innen, Bauabrechnung (Fachpersonal mit einschlägiger Ausbildung / mit bis zu 3-jähriger Erfahrung, unterer Bereich der Bandbreite)</t>
    </r>
  </si>
  <si>
    <t>Daten aus Kollektivvertrag 2024: 
Beschäftigungsgruppe 6 im Jahr 3 
Daten aus Kollektivvertrag 2024: 
Beschäftigungsgruppe 6 im Jahr 14</t>
  </si>
  <si>
    <t>2024: BG 6/3</t>
  </si>
  <si>
    <t>2024: BG 6/14</t>
  </si>
  <si>
    <t>auf Basis Kollektivvertrag 01.01.2024</t>
  </si>
  <si>
    <t>Daten aus Kollektivvertrag 2024: 
Beschäftigungsgruppe 5 im Jahr 5
Daten aus Kollektivvertrag 2024: 
Beschäftigungsgruppe 5 im Jahr 14</t>
  </si>
  <si>
    <t>2024: BG 5/5</t>
  </si>
  <si>
    <t>2024: BG 5/14</t>
  </si>
  <si>
    <t>Daten aus Kollektivvertrag 2024: 
Beschäftigungsgruppe 4 im Jahr 3
Daten aus Kollektivvertrag 2024: 
Beschäftigungsgruppe 4 im Jahr 14</t>
  </si>
  <si>
    <t>2024: BG 4/3</t>
  </si>
  <si>
    <t>2024: BG 4/14</t>
  </si>
  <si>
    <t>Daten aus Kollektivvertrag 2024: 
Beschäftigungsgruppe 3 im Jahr 5
Daten aus Kollektivvertrag 2024: 
Beschäftigungsgruppe 3 im Jahr 14</t>
  </si>
  <si>
    <t>2024: BG 3/5</t>
  </si>
  <si>
    <t>2024: BG 3/14</t>
  </si>
  <si>
    <t>* Werte 2022 lt. Statistik Austria - Krankenstandstage pro erwerbstätiger Person (Durchschnitt)</t>
  </si>
  <si>
    <t>Version 01    08.01.2024</t>
  </si>
  <si>
    <r>
      <rPr>
        <b/>
        <sz val="9"/>
        <color theme="1"/>
        <rFont val="Arial"/>
        <family val="2"/>
      </rPr>
      <t xml:space="preserve">Leistungskategorie A: </t>
    </r>
    <r>
      <rPr>
        <sz val="9"/>
        <color theme="1"/>
        <rFont val="Arial"/>
        <family val="2"/>
      </rPr>
      <t xml:space="preserve">
Konzeptive und strategische Aufgaben - Senior Experts; Experten- und Expertinnentätigkeit, die von Ziviltechniker:innenn erbracht wird, wie Projektleitung, Projektsteuerung, Analytik, Konzeption, Gestaltung, Konstruktion, allgemeine, strategische, ökonomische, ökologische Beratung, Leitung örtl. Bauaufsichten, Vertretung des Auftraggebers und dgl.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</si>
</sst>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theme="0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9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6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9" fontId="1" fillId="0" borderId="23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6" fillId="0" borderId="0" xfId="0" applyFont="1"/>
    <xf numFmtId="0" fontId="6" fillId="2" borderId="2" xfId="0" applyFont="1" applyFill="1" applyBorder="1"/>
    <xf numFmtId="0" fontId="3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9" fontId="1" fillId="0" borderId="17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9" fontId="3" fillId="0" borderId="13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1" xfId="0" applyFont="1" applyBorder="1" applyAlignment="1">
      <alignment horizontal="center" vertical="center"/>
    </xf>
    <xf numFmtId="4" fontId="1" fillId="0" borderId="22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9" fontId="7" fillId="0" borderId="23" xfId="0" applyNumberFormat="1" applyFont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4" fontId="11" fillId="3" borderId="30" xfId="0" applyNumberFormat="1" applyFont="1" applyFill="1" applyBorder="1" applyAlignment="1">
      <alignment vertical="center"/>
    </xf>
    <xf numFmtId="164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4" fontId="1" fillId="0" borderId="36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10" fontId="1" fillId="0" borderId="35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" fontId="1" fillId="0" borderId="45" xfId="0" applyNumberFormat="1" applyFont="1" applyBorder="1" applyAlignment="1">
      <alignment vertical="center"/>
    </xf>
    <xf numFmtId="4" fontId="3" fillId="0" borderId="45" xfId="0" applyNumberFormat="1" applyFont="1" applyBorder="1" applyAlignment="1">
      <alignment vertical="center"/>
    </xf>
    <xf numFmtId="4" fontId="3" fillId="0" borderId="36" xfId="0" applyNumberFormat="1" applyFont="1" applyBorder="1" applyAlignment="1">
      <alignment vertical="center"/>
    </xf>
    <xf numFmtId="4" fontId="3" fillId="2" borderId="41" xfId="0" applyNumberFormat="1" applyFont="1" applyFill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9" fontId="1" fillId="0" borderId="35" xfId="0" applyNumberFormat="1" applyFont="1" applyBorder="1" applyAlignment="1">
      <alignment horizontal="center" vertical="center"/>
    </xf>
    <xf numFmtId="164" fontId="12" fillId="3" borderId="35" xfId="0" applyNumberFormat="1" applyFont="1" applyFill="1" applyBorder="1" applyAlignment="1">
      <alignment horizontal="center" vertical="center"/>
    </xf>
    <xf numFmtId="4" fontId="11" fillId="3" borderId="36" xfId="0" applyNumberFormat="1" applyFont="1" applyFill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9" fontId="7" fillId="0" borderId="35" xfId="0" applyNumberFormat="1" applyFont="1" applyBorder="1" applyAlignment="1">
      <alignment horizontal="center" vertical="center"/>
    </xf>
    <xf numFmtId="9" fontId="7" fillId="0" borderId="48" xfId="0" applyNumberFormat="1" applyFont="1" applyBorder="1" applyAlignment="1">
      <alignment horizontal="center" vertical="center"/>
    </xf>
    <xf numFmtId="9" fontId="7" fillId="0" borderId="21" xfId="0" applyNumberFormat="1" applyFont="1" applyBorder="1" applyAlignment="1">
      <alignment horizontal="center" vertical="center"/>
    </xf>
    <xf numFmtId="4" fontId="1" fillId="0" borderId="49" xfId="0" applyNumberFormat="1" applyFont="1" applyBorder="1" applyAlignment="1">
      <alignment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4" fontId="3" fillId="0" borderId="38" xfId="0" applyNumberFormat="1" applyFont="1" applyBorder="1" applyAlignment="1">
      <alignment vertical="center"/>
    </xf>
    <xf numFmtId="0" fontId="1" fillId="2" borderId="48" xfId="0" applyFont="1" applyFill="1" applyBorder="1" applyAlignment="1">
      <alignment horizontal="center" vertical="center"/>
    </xf>
    <xf numFmtId="4" fontId="3" fillId="2" borderId="49" xfId="0" applyNumberFormat="1" applyFont="1" applyFill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4" fontId="3" fillId="0" borderId="55" xfId="0" applyNumberFormat="1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" fontId="1" fillId="0" borderId="55" xfId="0" applyNumberFormat="1" applyFont="1" applyBorder="1" applyAlignment="1">
      <alignment vertical="center"/>
    </xf>
    <xf numFmtId="4" fontId="1" fillId="0" borderId="57" xfId="0" applyNumberFormat="1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59" xfId="0" applyNumberFormat="1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9" fontId="1" fillId="0" borderId="24" xfId="0" applyNumberFormat="1" applyFont="1" applyBorder="1" applyAlignment="1">
      <alignment horizontal="center" vertical="center"/>
    </xf>
    <xf numFmtId="9" fontId="1" fillId="0" borderId="54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9" fontId="3" fillId="0" borderId="25" xfId="0" applyNumberFormat="1" applyFont="1" applyBorder="1" applyAlignment="1">
      <alignment horizontal="center" vertical="center"/>
    </xf>
    <xf numFmtId="9" fontId="1" fillId="0" borderId="60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4" fontId="1" fillId="0" borderId="63" xfId="0" applyNumberFormat="1" applyFont="1" applyBorder="1" applyAlignment="1">
      <alignment vertical="center"/>
    </xf>
    <xf numFmtId="4" fontId="1" fillId="0" borderId="64" xfId="0" applyNumberFormat="1" applyFont="1" applyBorder="1" applyAlignment="1">
      <alignment vertical="center"/>
    </xf>
    <xf numFmtId="0" fontId="4" fillId="0" borderId="66" xfId="0" applyFont="1" applyBorder="1" applyAlignment="1">
      <alignment horizontal="center" vertical="center"/>
    </xf>
    <xf numFmtId="9" fontId="3" fillId="0" borderId="68" xfId="0" applyNumberFormat="1" applyFont="1" applyBorder="1" applyAlignment="1">
      <alignment horizontal="center" vertical="center"/>
    </xf>
    <xf numFmtId="9" fontId="1" fillId="0" borderId="69" xfId="0" applyNumberFormat="1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10" fontId="3" fillId="0" borderId="67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10" fontId="1" fillId="0" borderId="65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9" fontId="1" fillId="0" borderId="46" xfId="0" applyNumberFormat="1" applyFont="1" applyBorder="1" applyAlignment="1">
      <alignment horizontal="center" vertical="center"/>
    </xf>
    <xf numFmtId="4" fontId="3" fillId="0" borderId="47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75" xfId="0" applyFont="1" applyBorder="1" applyAlignment="1">
      <alignment vertical="center"/>
    </xf>
    <xf numFmtId="10" fontId="1" fillId="0" borderId="69" xfId="0" applyNumberFormat="1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10" fontId="1" fillId="0" borderId="77" xfId="0" applyNumberFormat="1" applyFont="1" applyBorder="1" applyAlignment="1">
      <alignment horizontal="center" vertical="center"/>
    </xf>
    <xf numFmtId="10" fontId="1" fillId="0" borderId="78" xfId="0" applyNumberFormat="1" applyFont="1" applyBorder="1" applyAlignment="1">
      <alignment horizontal="center" vertical="center"/>
    </xf>
    <xf numFmtId="4" fontId="1" fillId="0" borderId="79" xfId="0" applyNumberFormat="1" applyFont="1" applyBorder="1" applyAlignment="1">
      <alignment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9" fontId="1" fillId="0" borderId="39" xfId="0" applyNumberFormat="1" applyFont="1" applyBorder="1" applyAlignment="1">
      <alignment horizontal="center" vertical="center"/>
    </xf>
    <xf numFmtId="9" fontId="1" fillId="0" borderId="1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65" xfId="0" applyFont="1" applyFill="1" applyBorder="1" applyAlignment="1">
      <alignment horizontal="center" vertical="center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0" fontId="1" fillId="4" borderId="67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9" fontId="1" fillId="4" borderId="65" xfId="0" applyNumberFormat="1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7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9" fontId="14" fillId="0" borderId="2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0" fontId="14" fillId="0" borderId="23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0" fontId="14" fillId="0" borderId="76" xfId="0" applyNumberFormat="1" applyFont="1" applyBorder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9" fontId="14" fillId="0" borderId="13" xfId="0" applyNumberFormat="1" applyFont="1" applyBorder="1" applyAlignment="1">
      <alignment horizontal="center" vertical="center"/>
    </xf>
    <xf numFmtId="9" fontId="14" fillId="0" borderId="12" xfId="0" applyNumberFormat="1" applyFont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9" fontId="14" fillId="0" borderId="23" xfId="0" applyNumberFormat="1" applyFont="1" applyBorder="1" applyAlignment="1">
      <alignment horizontal="center" vertical="center"/>
    </xf>
    <xf numFmtId="9" fontId="14" fillId="0" borderId="25" xfId="0" applyNumberFormat="1" applyFont="1" applyBorder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0" xfId="0" applyFont="1"/>
    <xf numFmtId="0" fontId="16" fillId="3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0" borderId="0" xfId="0" applyFont="1"/>
    <xf numFmtId="0" fontId="7" fillId="0" borderId="29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1" fillId="3" borderId="82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20893" y="1449160"/>
          <a:ext cx="150903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23512" y="898071"/>
          <a:ext cx="2401663" cy="1313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280073" y="1449160"/>
          <a:ext cx="150767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2024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28896" y="1459566"/>
          <a:ext cx="150823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212037" y="1503589"/>
          <a:ext cx="1507671" cy="601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89"/>
  <sheetViews>
    <sheetView showGridLines="0" tabSelected="1" view="pageBreakPreview" zoomScale="70" zoomScaleNormal="70" zoomScaleSheetLayoutView="70" zoomScalePageLayoutView="70" workbookViewId="0">
      <selection activeCell="F8" sqref="F8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3" ht="55.5" customHeight="1" thickBot="1" x14ac:dyDescent="0.25">
      <c r="B1" s="1" t="s">
        <v>0</v>
      </c>
    </row>
    <row r="2" spans="2:13" ht="23.25" customHeight="1" thickBot="1" x14ac:dyDescent="0.3">
      <c r="B2" s="11" t="s">
        <v>58</v>
      </c>
      <c r="C2" s="12"/>
      <c r="D2" s="13"/>
      <c r="E2" s="13"/>
      <c r="F2" s="13"/>
      <c r="G2" s="32"/>
      <c r="H2" s="32"/>
      <c r="I2" s="13"/>
      <c r="J2" s="32"/>
      <c r="K2" s="14"/>
    </row>
    <row r="3" spans="2:13" ht="87" customHeight="1" x14ac:dyDescent="0.2">
      <c r="B3" s="224" t="s">
        <v>124</v>
      </c>
      <c r="C3" s="225"/>
      <c r="D3" s="225"/>
      <c r="E3" s="221"/>
      <c r="F3" s="226" t="s">
        <v>129</v>
      </c>
      <c r="G3" s="227"/>
      <c r="H3" s="227"/>
      <c r="I3" s="227"/>
      <c r="J3" s="227"/>
      <c r="K3" s="228"/>
    </row>
    <row r="4" spans="2:13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3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130</v>
      </c>
      <c r="I5" s="233"/>
      <c r="J5" s="230" t="s">
        <v>131</v>
      </c>
      <c r="K5" s="231"/>
    </row>
    <row r="6" spans="2:13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3" s="2" customFormat="1" ht="15" x14ac:dyDescent="0.25">
      <c r="B7" s="55" t="s">
        <v>40</v>
      </c>
      <c r="C7" s="4">
        <v>1</v>
      </c>
      <c r="D7" s="2" t="s">
        <v>52</v>
      </c>
      <c r="F7" s="160"/>
      <c r="G7" s="192"/>
      <c r="H7" s="85" t="s">
        <v>92</v>
      </c>
      <c r="I7" s="18">
        <v>4937</v>
      </c>
      <c r="J7" s="34" t="s">
        <v>92</v>
      </c>
      <c r="K7" s="145">
        <v>5968</v>
      </c>
      <c r="M7" s="145"/>
    </row>
    <row r="8" spans="2:13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6418.1</v>
      </c>
      <c r="J8" s="138" t="s">
        <v>92</v>
      </c>
      <c r="K8" s="124">
        <f>ROUND(K7*(1+F8),2)</f>
        <v>7758.4</v>
      </c>
    </row>
    <row r="9" spans="2:13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1482.24</v>
      </c>
      <c r="J9" s="34" t="s">
        <v>92</v>
      </c>
      <c r="K9" s="145">
        <f>ROUND(K8/F9,2)</f>
        <v>1791.78</v>
      </c>
    </row>
    <row r="10" spans="2:13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37.06</v>
      </c>
      <c r="J10" s="70" t="s">
        <v>92</v>
      </c>
      <c r="K10" s="90">
        <f>ROUND(K9/F10,2)</f>
        <v>44.79</v>
      </c>
    </row>
    <row r="11" spans="2:13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3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1401.07</v>
      </c>
      <c r="J12" s="70" t="s">
        <v>92</v>
      </c>
      <c r="K12" s="90">
        <f>ROUND($K$8*F12,2)</f>
        <v>1693.66</v>
      </c>
    </row>
    <row r="13" spans="2:13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288.81</v>
      </c>
      <c r="J13" s="70" t="s">
        <v>92</v>
      </c>
      <c r="K13" s="90">
        <f>ROUND($K$8*F13,2)</f>
        <v>349.13</v>
      </c>
    </row>
    <row r="14" spans="2:13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192.54</v>
      </c>
      <c r="J14" s="70" t="s">
        <v>92</v>
      </c>
      <c r="K14" s="90">
        <f>ROUND($K$8*F14,2)</f>
        <v>232.75</v>
      </c>
    </row>
    <row r="15" spans="2:13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98.2</v>
      </c>
      <c r="J15" s="70" t="s">
        <v>92</v>
      </c>
      <c r="K15" s="90">
        <f>ROUND($K$8*F15,2)</f>
        <v>118.7</v>
      </c>
    </row>
    <row r="16" spans="2:13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1980.63</v>
      </c>
      <c r="J16" s="123" t="s">
        <v>92</v>
      </c>
      <c r="K16" s="129">
        <f>ROUND($K$8*F16,2)</f>
        <v>2394.2399999999998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1920.3</v>
      </c>
      <c r="J18" s="70" t="s">
        <v>92</v>
      </c>
      <c r="K18" s="90">
        <f>ROUND($K$8*F18,2)</f>
        <v>2321.31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16676.8</v>
      </c>
      <c r="J20" s="48" t="s">
        <v>92</v>
      </c>
      <c r="K20" s="118">
        <f>ROUND((K8+K18)*2,2)</f>
        <v>20159.419999999998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9788.4599999999991</v>
      </c>
      <c r="J22" s="62"/>
      <c r="K22" s="120">
        <f>ROUND(((K8+K16)*12+K20)/12,2)</f>
        <v>11832.59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f>F24</f>
        <v>365</v>
      </c>
      <c r="J24" s="35"/>
      <c r="K24" s="86">
        <f>F24</f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12</v>
      </c>
      <c r="G26" s="195"/>
      <c r="H26" s="89"/>
      <c r="I26" s="71">
        <f>F26</f>
        <v>12</v>
      </c>
      <c r="J26" s="70"/>
      <c r="K26" s="90">
        <f>F26</f>
        <v>12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249</v>
      </c>
      <c r="J27" s="70"/>
      <c r="K27" s="91">
        <f>ROUND(K24-K25-K26,2)</f>
        <v>249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v>14.9</v>
      </c>
      <c r="G29" s="195"/>
      <c r="H29" s="89"/>
      <c r="I29" s="71">
        <f>F29</f>
        <v>14.9</v>
      </c>
      <c r="J29" s="70"/>
      <c r="K29" s="90">
        <f>F29</f>
        <v>14.9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ROUND(I27-I28-I29-I30,2)</f>
        <v>209.1</v>
      </c>
      <c r="J31" s="70"/>
      <c r="K31" s="91">
        <f>ROUND(K27-K28-K29-K30,2)</f>
        <v>209.1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1672.8</v>
      </c>
      <c r="J34" s="70"/>
      <c r="K34" s="90">
        <f>ROUND(K31*K33,2)</f>
        <v>1672.8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139.4</v>
      </c>
      <c r="J35" s="123"/>
      <c r="K35" s="124">
        <f>ROUND(K31/K24*30.4167*8,2)</f>
        <v>139.4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20</v>
      </c>
      <c r="F37" s="187">
        <v>20</v>
      </c>
      <c r="G37" s="196" t="s">
        <v>102</v>
      </c>
      <c r="H37" s="89"/>
      <c r="I37" s="71">
        <f>ROUND(F37*$I$33,2)</f>
        <v>160</v>
      </c>
      <c r="J37" s="70"/>
      <c r="K37" s="90">
        <f t="shared" ref="K37:K43" si="0">ROUND(F37*$K$33,2)</f>
        <v>160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ref="I38:I43" si="1">ROUND(F38*$I$33,2)</f>
        <v>16</v>
      </c>
      <c r="J38" s="70"/>
      <c r="K38" s="90">
        <f t="shared" si="0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4</v>
      </c>
      <c r="F39" s="186">
        <v>4</v>
      </c>
      <c r="G39" s="196" t="s">
        <v>104</v>
      </c>
      <c r="H39" s="89"/>
      <c r="I39" s="71">
        <f t="shared" si="1"/>
        <v>32</v>
      </c>
      <c r="J39" s="70"/>
      <c r="K39" s="90">
        <f t="shared" si="0"/>
        <v>32</v>
      </c>
    </row>
    <row r="40" spans="2:11" s="2" customFormat="1" x14ac:dyDescent="0.25">
      <c r="B40" s="3"/>
      <c r="C40" s="4">
        <v>27</v>
      </c>
      <c r="D40" s="26" t="s">
        <v>19</v>
      </c>
      <c r="E40" s="28">
        <v>20</v>
      </c>
      <c r="F40" s="186">
        <v>20</v>
      </c>
      <c r="G40" s="196" t="s">
        <v>105</v>
      </c>
      <c r="H40" s="89"/>
      <c r="I40" s="71">
        <f t="shared" si="1"/>
        <v>160</v>
      </c>
      <c r="J40" s="70"/>
      <c r="K40" s="90">
        <f t="shared" si="0"/>
        <v>160</v>
      </c>
    </row>
    <row r="41" spans="2:11" s="2" customFormat="1" x14ac:dyDescent="0.25">
      <c r="B41" s="3"/>
      <c r="C41" s="4">
        <v>28</v>
      </c>
      <c r="D41" s="26" t="s">
        <v>109</v>
      </c>
      <c r="E41" s="28">
        <v>5</v>
      </c>
      <c r="F41" s="186">
        <v>5</v>
      </c>
      <c r="G41" s="196" t="s">
        <v>106</v>
      </c>
      <c r="H41" s="89"/>
      <c r="I41" s="71">
        <f t="shared" si="1"/>
        <v>40</v>
      </c>
      <c r="J41" s="70"/>
      <c r="K41" s="90">
        <f t="shared" si="0"/>
        <v>40</v>
      </c>
    </row>
    <row r="42" spans="2:11" s="2" customFormat="1" x14ac:dyDescent="0.25">
      <c r="B42" s="3"/>
      <c r="C42" s="4">
        <v>29</v>
      </c>
      <c r="D42" s="26" t="s">
        <v>20</v>
      </c>
      <c r="E42" s="28">
        <v>10</v>
      </c>
      <c r="F42" s="186">
        <v>10</v>
      </c>
      <c r="G42" s="196" t="s">
        <v>107</v>
      </c>
      <c r="H42" s="89"/>
      <c r="I42" s="71">
        <f t="shared" si="1"/>
        <v>80</v>
      </c>
      <c r="J42" s="70"/>
      <c r="K42" s="90">
        <f t="shared" si="0"/>
        <v>80</v>
      </c>
    </row>
    <row r="43" spans="2:11" s="2" customFormat="1" x14ac:dyDescent="0.25">
      <c r="B43" s="3"/>
      <c r="C43" s="4">
        <v>30</v>
      </c>
      <c r="D43" s="26" t="s">
        <v>24</v>
      </c>
      <c r="E43" s="28">
        <v>30</v>
      </c>
      <c r="F43" s="186">
        <v>30</v>
      </c>
      <c r="G43" s="196" t="s">
        <v>108</v>
      </c>
      <c r="H43" s="89"/>
      <c r="I43" s="71">
        <f t="shared" si="1"/>
        <v>240</v>
      </c>
      <c r="J43" s="70"/>
      <c r="K43" s="90">
        <f t="shared" si="0"/>
        <v>240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0.43519999999999998</v>
      </c>
      <c r="G44" s="196" t="s">
        <v>89</v>
      </c>
      <c r="H44" s="89"/>
      <c r="I44" s="71">
        <f>ROUND(SUM(I37:I43),2)</f>
        <v>728</v>
      </c>
      <c r="J44" s="70"/>
      <c r="K44" s="90">
        <f>ROUND(SUM(K37:K43),2)</f>
        <v>728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0.43519999999999998</v>
      </c>
      <c r="G45" s="196" t="s">
        <v>100</v>
      </c>
      <c r="H45" s="89"/>
      <c r="I45" s="72">
        <f>ROUND(F45*I35,2)</f>
        <v>60.67</v>
      </c>
      <c r="J45" s="70"/>
      <c r="K45" s="91">
        <f>ROUND(F45*K35,2)</f>
        <v>60.67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944.8</v>
      </c>
      <c r="J47" s="132"/>
      <c r="K47" s="133">
        <f>ROUND(K34-K44,2)</f>
        <v>944.8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78.73</v>
      </c>
      <c r="J48" s="35"/>
      <c r="K48" s="92">
        <f>ROUND(K35-K45,2)</f>
        <v>78.73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124.33</v>
      </c>
      <c r="J49" s="107" t="s">
        <v>92</v>
      </c>
      <c r="K49" s="105">
        <f>ROUND(K22/K48,2)</f>
        <v>150.29</v>
      </c>
    </row>
    <row r="50" spans="2:14" s="2" customFormat="1" ht="6" customHeight="1" x14ac:dyDescent="0.25">
      <c r="B50" s="3"/>
      <c r="F50" s="4"/>
      <c r="G50" s="38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38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81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38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57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39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9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2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2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2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89">
        <v>0.1</v>
      </c>
      <c r="G60" s="22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2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2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2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2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2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2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2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73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8">
        <f>SUM(F56:F68)</f>
        <v>0.75</v>
      </c>
      <c r="G69" s="206" t="s">
        <v>81</v>
      </c>
      <c r="H69" s="165" t="s">
        <v>92</v>
      </c>
      <c r="I69" s="53">
        <f>ROUND(F69*I49,2)</f>
        <v>93.25</v>
      </c>
      <c r="J69" s="52"/>
      <c r="K69" s="166">
        <f>ROUND(F69*K49,2)</f>
        <v>112.72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17.41</v>
      </c>
      <c r="J76" s="143"/>
      <c r="K76" s="144">
        <f>ROUND(F76*K49,2)</f>
        <v>21.04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0.89</v>
      </c>
      <c r="F78" s="150">
        <f>F76+F69</f>
        <v>0.89</v>
      </c>
      <c r="G78" s="210" t="s">
        <v>83</v>
      </c>
      <c r="H78" s="141" t="s">
        <v>92</v>
      </c>
      <c r="I78" s="142">
        <f>ROUND(I49*F78,2)</f>
        <v>110.65</v>
      </c>
      <c r="J78" s="143"/>
      <c r="K78" s="144">
        <f>ROUND(F78*K49,2)</f>
        <v>133.76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234.98</v>
      </c>
      <c r="J80" s="78"/>
      <c r="K80" s="99">
        <f>ROUND(K49+K78,2)</f>
        <v>284.05</v>
      </c>
    </row>
    <row r="81" spans="2:11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18499.98</v>
      </c>
      <c r="J82" s="104"/>
      <c r="K82" s="105">
        <f>ROUND(K80*K48,2)</f>
        <v>22363.26</v>
      </c>
    </row>
    <row r="83" spans="2:11" s="2" customFormat="1" ht="5.25" customHeight="1" x14ac:dyDescent="0.25">
      <c r="B83" s="3"/>
      <c r="F83" s="4"/>
      <c r="G83" s="191"/>
      <c r="H83" s="87"/>
      <c r="I83" s="54"/>
      <c r="J83" s="4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222009.1</v>
      </c>
      <c r="J84" s="101"/>
      <c r="K84" s="94">
        <f>ROUND(K80*K47,2)</f>
        <v>268370.44</v>
      </c>
    </row>
    <row r="86" spans="2:11" ht="3.75" customHeight="1" x14ac:dyDescent="0.2"/>
    <row r="87" spans="2:11" x14ac:dyDescent="0.2">
      <c r="B87" s="213" t="s">
        <v>143</v>
      </c>
      <c r="D87" s="213" t="s">
        <v>132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">
        <v>142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sheetProtection algorithmName="SHA-512" hashValue="nyfdy4au31cXlNaq4t9fReBo9bqftjdxsRTEugbMHYl7NDgxQ3pQ7HnDFBgOKK9ADXEpCpdCrKp3L7pmXQ7VYQ==" saltValue="h0oGJklC+Q+FgMx4a/NB9Q==" spinCount="100000" sheet="1" objects="1" scenarios="1"/>
  <mergeCells count="5">
    <mergeCell ref="B3:D3"/>
    <mergeCell ref="F3:K3"/>
    <mergeCell ref="B89:K89"/>
    <mergeCell ref="J5:K5"/>
    <mergeCell ref="H5:I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89"/>
  <sheetViews>
    <sheetView showGridLines="0" view="pageBreakPreview" zoomScaleNormal="115" zoomScaleSheetLayoutView="100" zoomScalePageLayoutView="115" workbookViewId="0">
      <selection activeCell="B4" sqref="B4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113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144</v>
      </c>
      <c r="C3" s="225"/>
      <c r="D3" s="225"/>
      <c r="E3" s="222"/>
      <c r="F3" s="226" t="s">
        <v>129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130</v>
      </c>
      <c r="I5" s="233"/>
      <c r="J5" s="230" t="s">
        <v>131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4937</v>
      </c>
      <c r="J7" s="34" t="s">
        <v>92</v>
      </c>
      <c r="K7" s="145">
        <v>5968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6418.1</v>
      </c>
      <c r="J8" s="138" t="s">
        <v>92</v>
      </c>
      <c r="K8" s="124">
        <f>ROUND(K7*(1+F8),2)</f>
        <v>7758.4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1482.24</v>
      </c>
      <c r="J9" s="34" t="s">
        <v>92</v>
      </c>
      <c r="K9" s="145">
        <f>ROUND(K8/F9,2)</f>
        <v>1791.78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37.06</v>
      </c>
      <c r="J10" s="70" t="s">
        <v>92</v>
      </c>
      <c r="K10" s="90">
        <f>ROUND(K9/F10,2)</f>
        <v>44.79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1401.07</v>
      </c>
      <c r="J12" s="70" t="s">
        <v>92</v>
      </c>
      <c r="K12" s="90">
        <f>ROUND($K$8*F12,2)</f>
        <v>1693.66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288.81</v>
      </c>
      <c r="J13" s="70" t="s">
        <v>92</v>
      </c>
      <c r="K13" s="90">
        <f>ROUND($K$8*F13,2)</f>
        <v>349.13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192.54</v>
      </c>
      <c r="J14" s="70" t="s">
        <v>92</v>
      </c>
      <c r="K14" s="90">
        <f>ROUND($K$8*F14,2)</f>
        <v>232.75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98.2</v>
      </c>
      <c r="J15" s="70" t="s">
        <v>92</v>
      </c>
      <c r="K15" s="90">
        <f>ROUND($K$8*F15,2)</f>
        <v>118.7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1980.63</v>
      </c>
      <c r="J16" s="123" t="s">
        <v>92</v>
      </c>
      <c r="K16" s="129">
        <f>ROUND($K$8*F16,2)</f>
        <v>2394.2399999999998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1920.3</v>
      </c>
      <c r="J18" s="70" t="s">
        <v>92</v>
      </c>
      <c r="K18" s="90">
        <f>ROUND($K$8*F18,2)</f>
        <v>2321.31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16676.8</v>
      </c>
      <c r="J20" s="48" t="s">
        <v>92</v>
      </c>
      <c r="K20" s="118">
        <f>ROUND((K8+K18)*2,2)</f>
        <v>20159.419999999998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9788.4599999999991</v>
      </c>
      <c r="J22" s="62"/>
      <c r="K22" s="120">
        <f>ROUND(((K8+K16)*12+K20)/12,2)</f>
        <v>11832.59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12</v>
      </c>
      <c r="G26" s="195"/>
      <c r="H26" s="89"/>
      <c r="I26" s="71">
        <f>F26</f>
        <v>12</v>
      </c>
      <c r="J26" s="70"/>
      <c r="K26" s="90">
        <f>F26</f>
        <v>12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249</v>
      </c>
      <c r="J27" s="70"/>
      <c r="K27" s="91">
        <f>ROUND(K24-K25-K26,2)</f>
        <v>249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v>14.9</v>
      </c>
      <c r="G29" s="195"/>
      <c r="H29" s="89"/>
      <c r="I29" s="71">
        <f>F29</f>
        <v>14.9</v>
      </c>
      <c r="J29" s="70"/>
      <c r="K29" s="90">
        <f>F29</f>
        <v>14.9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ROUND(I27-I28-I29-I30,2)</f>
        <v>209.1</v>
      </c>
      <c r="J31" s="70"/>
      <c r="K31" s="91">
        <f>ROUND(K27-K28-K29-K30,2)</f>
        <v>209.1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1672.8</v>
      </c>
      <c r="J34" s="70"/>
      <c r="K34" s="90">
        <f>ROUND(K31*K33,2)</f>
        <v>1672.8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139.4</v>
      </c>
      <c r="J35" s="123"/>
      <c r="K35" s="124">
        <f>ROUND(K31/K24*30.4167*8,2)</f>
        <v>139.4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20</v>
      </c>
      <c r="F37" s="187">
        <v>12</v>
      </c>
      <c r="G37" s="196" t="s">
        <v>102</v>
      </c>
      <c r="H37" s="89"/>
      <c r="I37" s="71">
        <f t="shared" ref="I37:I42" si="0">ROUND(F37*$I$33,2)</f>
        <v>96</v>
      </c>
      <c r="J37" s="70"/>
      <c r="K37" s="90">
        <f t="shared" ref="K37:K42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4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20</v>
      </c>
      <c r="F40" s="186">
        <v>12</v>
      </c>
      <c r="G40" s="196" t="s">
        <v>105</v>
      </c>
      <c r="H40" s="89"/>
      <c r="I40" s="71">
        <f t="shared" si="0"/>
        <v>96</v>
      </c>
      <c r="J40" s="70"/>
      <c r="K40" s="90">
        <f t="shared" si="1"/>
        <v>96</v>
      </c>
    </row>
    <row r="41" spans="2:11" s="2" customFormat="1" x14ac:dyDescent="0.25">
      <c r="B41" s="3"/>
      <c r="C41" s="4">
        <v>28</v>
      </c>
      <c r="D41" s="26" t="s">
        <v>109</v>
      </c>
      <c r="E41" s="28">
        <v>5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10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30</v>
      </c>
      <c r="F43" s="186">
        <v>20</v>
      </c>
      <c r="G43" s="196" t="s">
        <v>108</v>
      </c>
      <c r="H43" s="89"/>
      <c r="I43" s="71">
        <f>ROUND(F43*$I$33,2)</f>
        <v>160</v>
      </c>
      <c r="J43" s="70"/>
      <c r="K43" s="71">
        <f>ROUND(F43*$K$33,2)</f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0.26779999999999998</v>
      </c>
      <c r="G44" s="196" t="s">
        <v>89</v>
      </c>
      <c r="H44" s="89"/>
      <c r="I44" s="71">
        <f>ROUND(SUM(I37:I43),2)</f>
        <v>448</v>
      </c>
      <c r="J44" s="70"/>
      <c r="K44" s="90">
        <f>ROUND(SUM(K37:K43),2)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0.26779999999999998</v>
      </c>
      <c r="G45" s="196" t="s">
        <v>100</v>
      </c>
      <c r="H45" s="89"/>
      <c r="I45" s="72">
        <f>ROUND(F45*I35,2)</f>
        <v>37.33</v>
      </c>
      <c r="J45" s="70"/>
      <c r="K45" s="91">
        <f>ROUND(F45*K35,2)</f>
        <v>37.33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1224.8</v>
      </c>
      <c r="J47" s="132"/>
      <c r="K47" s="133">
        <f>ROUND(K34-K44,2)</f>
        <v>1224.8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102.07</v>
      </c>
      <c r="J48" s="35"/>
      <c r="K48" s="92">
        <f>ROUND(K35-K45,2)</f>
        <v>102.07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95.9</v>
      </c>
      <c r="J49" s="107" t="s">
        <v>92</v>
      </c>
      <c r="K49" s="105">
        <f>ROUND(K22/K48,2)</f>
        <v>115.93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4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15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89">
        <v>0.1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8">
        <f>SUM(F56:F68)</f>
        <v>0.75</v>
      </c>
      <c r="G69" s="206" t="s">
        <v>81</v>
      </c>
      <c r="H69" s="165" t="s">
        <v>92</v>
      </c>
      <c r="I69" s="53">
        <f>ROUND(F69*I49,2)</f>
        <v>71.930000000000007</v>
      </c>
      <c r="J69" s="52"/>
      <c r="K69" s="166">
        <f>ROUND(F69*K49,2)</f>
        <v>86.95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13.43</v>
      </c>
      <c r="J76" s="143"/>
      <c r="K76" s="144">
        <f>ROUND(F76*K49,2)</f>
        <v>16.23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0.89</v>
      </c>
      <c r="F78" s="150">
        <f>F76+F69</f>
        <v>0.89</v>
      </c>
      <c r="G78" s="210" t="s">
        <v>83</v>
      </c>
      <c r="H78" s="141" t="s">
        <v>92</v>
      </c>
      <c r="I78" s="142">
        <f>ROUND(F78*I49,2)</f>
        <v>85.35</v>
      </c>
      <c r="J78" s="143"/>
      <c r="K78" s="144">
        <f>ROUND(F78*K49,2)</f>
        <v>103.18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181.25</v>
      </c>
      <c r="J80" s="78"/>
      <c r="K80" s="99">
        <f>ROUND(K49+K78,2)</f>
        <v>219.11</v>
      </c>
      <c r="N80" s="223"/>
    </row>
    <row r="81" spans="2:14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4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18500.189999999999</v>
      </c>
      <c r="J82" s="216"/>
      <c r="K82" s="105">
        <f>ROUND(K80*K48,2)</f>
        <v>22364.560000000001</v>
      </c>
      <c r="M82" s="54"/>
      <c r="N82" s="54"/>
    </row>
    <row r="83" spans="2:14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4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221995</v>
      </c>
      <c r="J84" s="218"/>
      <c r="K84" s="94">
        <f>ROUND(K80*K47,2)</f>
        <v>268365.93</v>
      </c>
      <c r="M84" s="54"/>
      <c r="N84" s="223"/>
    </row>
    <row r="85" spans="2:14" x14ac:dyDescent="0.2">
      <c r="B85" s="220"/>
    </row>
    <row r="86" spans="2:14" ht="3.75" customHeight="1" x14ac:dyDescent="0.2"/>
    <row r="87" spans="2:14" x14ac:dyDescent="0.2">
      <c r="B87" s="213" t="s">
        <v>143</v>
      </c>
      <c r="D87" s="213" t="s">
        <v>132</v>
      </c>
      <c r="E87" s="31" t="s">
        <v>87</v>
      </c>
      <c r="F87" s="69"/>
      <c r="G87" s="31" t="s">
        <v>118</v>
      </c>
    </row>
    <row r="88" spans="2:14" ht="3" customHeight="1" x14ac:dyDescent="0.2">
      <c r="E88" s="31"/>
    </row>
    <row r="89" spans="2:14" ht="36.75" customHeight="1" x14ac:dyDescent="0.2">
      <c r="B89" s="229" t="s">
        <v>142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sheetProtection algorithmName="SHA-512" hashValue="sU9WIv1xW1tWGqhCI5WMjZXZoaI6L6+obxSgo4lQdTSFiryb2eTKWDeKACv9bJHjqhlFOdE3lAxAv+S/m3Q9+Q==" saltValue="xSJOTSK41925Rd2LAspyTA==" spinCount="100000" sheet="1" objects="1" scenarios="1"/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Q89"/>
  <sheetViews>
    <sheetView showGridLines="0" view="pageBreakPreview" zoomScaleNormal="85" zoomScaleSheetLayoutView="100" zoomScalePageLayoutView="70" workbookViewId="0">
      <selection activeCell="I28" sqref="I28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115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127</v>
      </c>
      <c r="C3" s="225"/>
      <c r="D3" s="225"/>
      <c r="E3" s="222"/>
      <c r="F3" s="226" t="s">
        <v>133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134</v>
      </c>
      <c r="I5" s="233"/>
      <c r="J5" s="230" t="s">
        <v>135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4150</v>
      </c>
      <c r="J7" s="34" t="s">
        <v>92</v>
      </c>
      <c r="K7" s="145">
        <v>4921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5395</v>
      </c>
      <c r="J8" s="138" t="s">
        <v>92</v>
      </c>
      <c r="K8" s="124">
        <f>ROUND(K7*(1+F8),)</f>
        <v>6397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1245.96</v>
      </c>
      <c r="J9" s="34" t="s">
        <v>92</v>
      </c>
      <c r="K9" s="145">
        <f>ROUND(K8/F9,2)</f>
        <v>1477.37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31.15</v>
      </c>
      <c r="J10" s="70" t="s">
        <v>92</v>
      </c>
      <c r="K10" s="90">
        <f>ROUND(K9/F10,2)</f>
        <v>36.93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1177.73</v>
      </c>
      <c r="J12" s="70" t="s">
        <v>92</v>
      </c>
      <c r="K12" s="90">
        <f>ROUND($K$8*F12,2)</f>
        <v>1396.47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242.78</v>
      </c>
      <c r="J13" s="70" t="s">
        <v>92</v>
      </c>
      <c r="K13" s="90">
        <f>ROUND($K$8*F13,2)</f>
        <v>287.87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161.85</v>
      </c>
      <c r="J14" s="70" t="s">
        <v>92</v>
      </c>
      <c r="K14" s="90">
        <f>ROUND($K$8*F14,2)</f>
        <v>191.91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82.54</v>
      </c>
      <c r="J15" s="70" t="s">
        <v>92</v>
      </c>
      <c r="K15" s="90">
        <f>ROUND($K$8*F15,2)</f>
        <v>97.87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1664.9</v>
      </c>
      <c r="J16" s="123" t="s">
        <v>92</v>
      </c>
      <c r="K16" s="129">
        <f>ROUND($K$8*F16,2)</f>
        <v>1974.11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1614.18</v>
      </c>
      <c r="J18" s="70" t="s">
        <v>92</v>
      </c>
      <c r="K18" s="90">
        <f>ROUND($K$8*F18,2)</f>
        <v>1913.98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14018.36</v>
      </c>
      <c r="J20" s="48" t="s">
        <v>92</v>
      </c>
      <c r="K20" s="118">
        <f>ROUND((K8+K18)*2,2)</f>
        <v>16621.96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8228.1</v>
      </c>
      <c r="J22" s="62"/>
      <c r="K22" s="120">
        <f>ROUND(((K8+K16)*12+K20)/12,2)</f>
        <v>9756.27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12</v>
      </c>
      <c r="G26" s="195"/>
      <c r="H26" s="89"/>
      <c r="I26" s="71">
        <f>F26</f>
        <v>12</v>
      </c>
      <c r="J26" s="70"/>
      <c r="K26" s="90">
        <f>F26</f>
        <v>12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249</v>
      </c>
      <c r="J27" s="70"/>
      <c r="K27" s="91">
        <f>ROUND(K24-K25-K26,2)</f>
        <v>249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v>14.9</v>
      </c>
      <c r="G29" s="195"/>
      <c r="H29" s="89"/>
      <c r="I29" s="71">
        <f>F29</f>
        <v>14.9</v>
      </c>
      <c r="J29" s="70"/>
      <c r="K29" s="90">
        <f>F29</f>
        <v>14.9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ROUND(I27-I28-I29-I30,2)</f>
        <v>209.1</v>
      </c>
      <c r="J31" s="70"/>
      <c r="K31" s="91">
        <f>ROUND(K27-K28-K29-K30,2)</f>
        <v>209.1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1672.8</v>
      </c>
      <c r="J34" s="70"/>
      <c r="K34" s="90">
        <f>ROUND(K31*K33,2)</f>
        <v>1672.8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139.4</v>
      </c>
      <c r="J35" s="123"/>
      <c r="K35" s="124">
        <f>ROUND(K31/K24*30.4167*8,2)</f>
        <v>139.4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12</v>
      </c>
      <c r="F37" s="187">
        <v>12</v>
      </c>
      <c r="G37" s="196" t="s">
        <v>102</v>
      </c>
      <c r="H37" s="89"/>
      <c r="I37" s="71">
        <f t="shared" ref="I37:I43" si="0">ROUND(F37*$I$33,2)</f>
        <v>96</v>
      </c>
      <c r="J37" s="70"/>
      <c r="K37" s="90">
        <f t="shared" ref="K37:K43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12</v>
      </c>
      <c r="F40" s="186">
        <v>12</v>
      </c>
      <c r="G40" s="196" t="s">
        <v>105</v>
      </c>
      <c r="H40" s="89"/>
      <c r="I40" s="71">
        <f>ROUND(F40*$I$33,2)</f>
        <v>96</v>
      </c>
      <c r="J40" s="70"/>
      <c r="K40" s="90">
        <f t="shared" si="1"/>
        <v>96</v>
      </c>
    </row>
    <row r="41" spans="2:11" s="2" customFormat="1" x14ac:dyDescent="0.25">
      <c r="B41" s="3"/>
      <c r="C41" s="4">
        <v>28</v>
      </c>
      <c r="D41" s="26" t="s">
        <v>109</v>
      </c>
      <c r="E41" s="28">
        <v>3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20</v>
      </c>
      <c r="F43" s="186">
        <v>20</v>
      </c>
      <c r="G43" s="196" t="s">
        <v>108</v>
      </c>
      <c r="H43" s="89"/>
      <c r="I43" s="71">
        <f t="shared" si="0"/>
        <v>160</v>
      </c>
      <c r="J43" s="70"/>
      <c r="K43" s="90">
        <f t="shared" si="1"/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0.26779999999999998</v>
      </c>
      <c r="G44" s="196" t="s">
        <v>89</v>
      </c>
      <c r="H44" s="89"/>
      <c r="I44" s="71">
        <f>ROUND(SUM(I37:I43),2)</f>
        <v>448</v>
      </c>
      <c r="J44" s="70"/>
      <c r="K44" s="90">
        <f>ROUND(SUM(K37:K43),3)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0.26779999999999998</v>
      </c>
      <c r="G45" s="196" t="s">
        <v>100</v>
      </c>
      <c r="H45" s="89"/>
      <c r="I45" s="72">
        <f>ROUND(F45*I35,2)</f>
        <v>37.33</v>
      </c>
      <c r="J45" s="70"/>
      <c r="K45" s="91">
        <f>ROUND(F45*K35,2)</f>
        <v>37.33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1224.8</v>
      </c>
      <c r="J47" s="132"/>
      <c r="K47" s="133">
        <f>ROUND(K34-K44,2)</f>
        <v>1224.8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102.07</v>
      </c>
      <c r="J48" s="35"/>
      <c r="K48" s="92">
        <f>ROUND(K35-K45,2)</f>
        <v>102.07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80.61</v>
      </c>
      <c r="J49" s="107" t="s">
        <v>92</v>
      </c>
      <c r="K49" s="105">
        <f>ROUND(K22/K48,2)</f>
        <v>95.58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4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15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0.03</v>
      </c>
      <c r="F60" s="189">
        <v>0.03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0.68</v>
      </c>
      <c r="F69" s="148">
        <f>SUM(F56:F68)</f>
        <v>0.68</v>
      </c>
      <c r="G69" s="206" t="s">
        <v>81</v>
      </c>
      <c r="H69" s="165" t="s">
        <v>92</v>
      </c>
      <c r="I69" s="53">
        <f>ROUND(F69*I49,2)</f>
        <v>54.81</v>
      </c>
      <c r="J69" s="52"/>
      <c r="K69" s="166">
        <f>ROUND(F69*K49,2)</f>
        <v>64.989999999999995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11.29</v>
      </c>
      <c r="J76" s="143"/>
      <c r="K76" s="144">
        <f>ROUND(F76*K49,2)</f>
        <v>13.38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0.82</v>
      </c>
      <c r="F78" s="150">
        <f>F76+F69</f>
        <v>0.82</v>
      </c>
      <c r="G78" s="210" t="s">
        <v>83</v>
      </c>
      <c r="H78" s="141" t="s">
        <v>92</v>
      </c>
      <c r="I78" s="142">
        <f>ROUND(F78*I49,2)</f>
        <v>66.099999999999994</v>
      </c>
      <c r="J78" s="143"/>
      <c r="K78" s="144">
        <f>ROUND(F78*K49,2)</f>
        <v>78.38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146.71</v>
      </c>
      <c r="J80" s="78"/>
      <c r="K80" s="99">
        <f>ROUND(K49+K78,2)</f>
        <v>173.96</v>
      </c>
    </row>
    <row r="81" spans="2:11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14974.69</v>
      </c>
      <c r="J82" s="216"/>
      <c r="K82" s="105">
        <f>ROUND(K80*K48,2)</f>
        <v>17756.099999999999</v>
      </c>
    </row>
    <row r="83" spans="2:11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179690.41</v>
      </c>
      <c r="J84" s="218"/>
      <c r="K84" s="94">
        <f>ROUND(K80*K47,2)</f>
        <v>213066.21</v>
      </c>
    </row>
    <row r="85" spans="2:11" x14ac:dyDescent="0.2">
      <c r="B85" s="220"/>
    </row>
    <row r="86" spans="2:11" ht="3.75" customHeight="1" x14ac:dyDescent="0.2"/>
    <row r="87" spans="2:11" x14ac:dyDescent="0.2">
      <c r="B87" s="213" t="s">
        <v>143</v>
      </c>
      <c r="D87" s="213" t="s">
        <v>132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">
        <v>142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sheetProtection algorithmName="SHA-512" hashValue="o7pfoEIpfccNl5i73/+Fws/ENQbr7HskB8vVbFSnUFk9IgPnRrDfIl8w95jA+NFetAMO6oTqM2Wfz+7MiUvyZg==" saltValue="WN5KyN5+lWUNDBcoWbmxKg==" spinCount="100000" sheet="1" objects="1" scenarios="1"/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Q89"/>
  <sheetViews>
    <sheetView showGridLines="0" view="pageBreakPreview" zoomScaleNormal="85" zoomScaleSheetLayoutView="100" zoomScalePageLayoutView="70" workbookViewId="0">
      <selection activeCell="F24" sqref="F24:F33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114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128</v>
      </c>
      <c r="C3" s="225"/>
      <c r="D3" s="225"/>
      <c r="E3" s="222"/>
      <c r="F3" s="226" t="s">
        <v>136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137</v>
      </c>
      <c r="I5" s="233"/>
      <c r="J5" s="230" t="s">
        <v>138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3141</v>
      </c>
      <c r="J7" s="34" t="s">
        <v>92</v>
      </c>
      <c r="K7" s="145">
        <v>3996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4083.3</v>
      </c>
      <c r="J8" s="138" t="s">
        <v>92</v>
      </c>
      <c r="K8" s="124">
        <f>ROUND(K7*(1+F8),2)</f>
        <v>5194.8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943.03</v>
      </c>
      <c r="J9" s="34" t="s">
        <v>92</v>
      </c>
      <c r="K9" s="145">
        <f>ROUND(K8/F9,2)</f>
        <v>1199.72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23.58</v>
      </c>
      <c r="J10" s="70" t="s">
        <v>92</v>
      </c>
      <c r="K10" s="90">
        <f>ROUND(K9/F10,2)</f>
        <v>29.99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891.38</v>
      </c>
      <c r="J12" s="70" t="s">
        <v>92</v>
      </c>
      <c r="K12" s="90">
        <f>ROUND($K$8*F12,2)</f>
        <v>1134.02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183.75</v>
      </c>
      <c r="J13" s="70" t="s">
        <v>92</v>
      </c>
      <c r="K13" s="90">
        <f>ROUND($K$8*F13,2)</f>
        <v>233.77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122.5</v>
      </c>
      <c r="J14" s="70" t="s">
        <v>92</v>
      </c>
      <c r="K14" s="90">
        <f>ROUND($K$8*F14,2)</f>
        <v>155.84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62.47</v>
      </c>
      <c r="J15" s="70" t="s">
        <v>92</v>
      </c>
      <c r="K15" s="90">
        <f>ROUND($K$8*F15,2)</f>
        <v>79.48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1260.1099999999999</v>
      </c>
      <c r="J16" s="123" t="s">
        <v>92</v>
      </c>
      <c r="K16" s="129">
        <f>ROUND($K$8*F16,2)</f>
        <v>1603.12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1221.72</v>
      </c>
      <c r="J18" s="70" t="s">
        <v>92</v>
      </c>
      <c r="K18" s="90">
        <f>ROUND($K$8*F18,2)</f>
        <v>1554.28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10610.04</v>
      </c>
      <c r="J20" s="48" t="s">
        <v>92</v>
      </c>
      <c r="K20" s="118">
        <f>ROUND((K8+K18)*2,2)</f>
        <v>13498.16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6227.58</v>
      </c>
      <c r="J22" s="62"/>
      <c r="K22" s="120">
        <f>ROUND(((K8+K16)*12+K20)/12,2)</f>
        <v>7922.77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ROUND(F25*2,2)</f>
        <v>104</v>
      </c>
      <c r="J25" s="70"/>
      <c r="K25" s="90">
        <f>ROUND(F25*2,2)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12</v>
      </c>
      <c r="G26" s="195"/>
      <c r="H26" s="89"/>
      <c r="I26" s="71">
        <f>F26</f>
        <v>12</v>
      </c>
      <c r="J26" s="70"/>
      <c r="K26" s="90">
        <f>F26</f>
        <v>12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ROUND(I24-I25-I26,2)</f>
        <v>249</v>
      </c>
      <c r="J27" s="70"/>
      <c r="K27" s="91">
        <f>ROUND(K24-K25-K26,2)</f>
        <v>249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v>14.9</v>
      </c>
      <c r="G29" s="195"/>
      <c r="H29" s="89"/>
      <c r="I29" s="71">
        <f>F29</f>
        <v>14.9</v>
      </c>
      <c r="J29" s="70"/>
      <c r="K29" s="90">
        <f>F29</f>
        <v>14.9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I27-I28-I29-I30</f>
        <v>209.1</v>
      </c>
      <c r="J31" s="70"/>
      <c r="K31" s="91">
        <f>ROUND(K27-K28-K29-K30,2)</f>
        <v>209.1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1672.8</v>
      </c>
      <c r="J34" s="70"/>
      <c r="K34" s="90">
        <f>ROUND(K31*K33,2)</f>
        <v>1672.8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139.4</v>
      </c>
      <c r="J35" s="123"/>
      <c r="K35" s="124">
        <f>ROUND(K31/K24*30.4167*8,2)</f>
        <v>139.4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12</v>
      </c>
      <c r="F37" s="187">
        <v>12</v>
      </c>
      <c r="G37" s="196" t="s">
        <v>102</v>
      </c>
      <c r="H37" s="89"/>
      <c r="I37" s="71">
        <f t="shared" ref="I37:I43" si="0">ROUND(F37*$I$33,2)</f>
        <v>96</v>
      </c>
      <c r="J37" s="70"/>
      <c r="K37" s="90">
        <f t="shared" ref="K37:K43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12</v>
      </c>
      <c r="F40" s="186">
        <v>12</v>
      </c>
      <c r="G40" s="196" t="s">
        <v>105</v>
      </c>
      <c r="H40" s="89"/>
      <c r="I40" s="71">
        <f t="shared" si="0"/>
        <v>96</v>
      </c>
      <c r="J40" s="70"/>
      <c r="K40" s="90">
        <f t="shared" si="1"/>
        <v>96</v>
      </c>
    </row>
    <row r="41" spans="2:11" s="2" customFormat="1" x14ac:dyDescent="0.25">
      <c r="B41" s="3"/>
      <c r="C41" s="4">
        <v>28</v>
      </c>
      <c r="D41" s="26" t="s">
        <v>109</v>
      </c>
      <c r="E41" s="28">
        <v>3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20</v>
      </c>
      <c r="F43" s="186">
        <v>20</v>
      </c>
      <c r="G43" s="196" t="s">
        <v>108</v>
      </c>
      <c r="H43" s="89"/>
      <c r="I43" s="71">
        <f t="shared" si="0"/>
        <v>160</v>
      </c>
      <c r="J43" s="70"/>
      <c r="K43" s="90">
        <f t="shared" si="1"/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0.26779999999999998</v>
      </c>
      <c r="G44" s="196" t="s">
        <v>89</v>
      </c>
      <c r="H44" s="89"/>
      <c r="I44" s="71">
        <f>ROUND(SUM(I37:I43),2)</f>
        <v>448</v>
      </c>
      <c r="J44" s="70"/>
      <c r="K44" s="90">
        <f>ROUND(SUM(K37:K43),2)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0.26779999999999998</v>
      </c>
      <c r="G45" s="196" t="s">
        <v>100</v>
      </c>
      <c r="H45" s="89"/>
      <c r="I45" s="72">
        <f>ROUND(F45*I35,2)</f>
        <v>37.33</v>
      </c>
      <c r="J45" s="70"/>
      <c r="K45" s="91">
        <f>ROUND(F45*K35,2)</f>
        <v>37.33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1224.8</v>
      </c>
      <c r="J47" s="132"/>
      <c r="K47" s="133">
        <f>ROUND(K34-K44,2)</f>
        <v>1224.8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102.07</v>
      </c>
      <c r="J48" s="35"/>
      <c r="K48" s="92">
        <f>ROUND(K35-K45,2)</f>
        <v>102.07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61.01</v>
      </c>
      <c r="J49" s="107" t="s">
        <v>92</v>
      </c>
      <c r="K49" s="105">
        <f>ROUND(K22/K48,2)</f>
        <v>77.62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9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00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0.03</v>
      </c>
      <c r="F60" s="189">
        <v>0.03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0.68</v>
      </c>
      <c r="F69" s="148">
        <f>SUM(F56:F68)</f>
        <v>0.68</v>
      </c>
      <c r="G69" s="206" t="s">
        <v>81</v>
      </c>
      <c r="H69" s="165" t="s">
        <v>92</v>
      </c>
      <c r="I69" s="53">
        <f>ROUND(F69*I49,2)</f>
        <v>41.49</v>
      </c>
      <c r="J69" s="52"/>
      <c r="K69" s="166">
        <f>ROUND(F69*K49,2)</f>
        <v>52.78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8.5399999999999991</v>
      </c>
      <c r="J76" s="143"/>
      <c r="K76" s="144">
        <f>ROUND(F76*K49,2)</f>
        <v>10.87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0.82</v>
      </c>
      <c r="F78" s="150">
        <f>F76+F69</f>
        <v>0.82</v>
      </c>
      <c r="G78" s="210" t="s">
        <v>83</v>
      </c>
      <c r="H78" s="141" t="s">
        <v>92</v>
      </c>
      <c r="I78" s="142">
        <f>ROUND(F78*I49,2)</f>
        <v>50.03</v>
      </c>
      <c r="J78" s="143"/>
      <c r="K78" s="144">
        <f>ROUND(F78*K49,2)</f>
        <v>63.65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ROUND(I49+I78,2)</f>
        <v>111.04</v>
      </c>
      <c r="J80" s="78"/>
      <c r="K80" s="99">
        <f>ROUND(K49+K78,2)</f>
        <v>141.27000000000001</v>
      </c>
    </row>
    <row r="81" spans="2:11" s="2" customFormat="1" ht="5.25" customHeight="1" x14ac:dyDescent="0.25">
      <c r="B81" s="3"/>
      <c r="F81" s="4"/>
      <c r="G81" s="191" t="s">
        <v>0</v>
      </c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11333.85</v>
      </c>
      <c r="J82" s="216"/>
      <c r="K82" s="105">
        <f>ROUND(K80*K48,2)</f>
        <v>14419.43</v>
      </c>
    </row>
    <row r="83" spans="2:11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136001.79</v>
      </c>
      <c r="J84" s="218"/>
      <c r="K84" s="94">
        <f>ROUND(K80*K47,2)</f>
        <v>173027.5</v>
      </c>
    </row>
    <row r="86" spans="2:11" ht="3.75" customHeight="1" x14ac:dyDescent="0.2"/>
    <row r="87" spans="2:11" x14ac:dyDescent="0.2">
      <c r="B87" s="213" t="s">
        <v>143</v>
      </c>
      <c r="D87" s="213" t="s">
        <v>132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">
        <v>142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sheetProtection algorithmName="SHA-512" hashValue="DAbJSr8lmOMrPKGbgt2oQWSDJWZ2vH2zzHMX0qbomkecZqrPKTNa9oIbLVU6/w3sAz2iedJK01DxGE7Tb7U4VQ==" saltValue="sv9rZEoDBLzzIlOeEHUwEg==" spinCount="100000" sheet="1" objects="1" scenarios="1"/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Q89"/>
  <sheetViews>
    <sheetView showGridLines="0" view="pageBreakPreview" zoomScaleNormal="85" zoomScaleSheetLayoutView="100" zoomScalePageLayoutView="70" workbookViewId="0">
      <selection activeCell="N21" sqref="N21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116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4" t="s">
        <v>117</v>
      </c>
      <c r="C3" s="225"/>
      <c r="D3" s="225"/>
      <c r="E3" s="222"/>
      <c r="F3" s="226" t="s">
        <v>139</v>
      </c>
      <c r="G3" s="227"/>
      <c r="H3" s="227"/>
      <c r="I3" s="227"/>
      <c r="J3" s="227"/>
      <c r="K3" s="228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79" customFormat="1" ht="18" customHeight="1" thickTop="1" x14ac:dyDescent="0.25">
      <c r="B5" s="74" t="s">
        <v>7</v>
      </c>
      <c r="C5" s="75"/>
      <c r="D5" s="75"/>
      <c r="E5" s="75"/>
      <c r="F5" s="75"/>
      <c r="G5" s="75"/>
      <c r="H5" s="232" t="s">
        <v>140</v>
      </c>
      <c r="I5" s="233"/>
      <c r="J5" s="230" t="s">
        <v>141</v>
      </c>
      <c r="K5" s="231"/>
    </row>
    <row r="6" spans="2:11" s="2" customFormat="1" ht="15" customHeight="1" x14ac:dyDescent="0.25">
      <c r="B6" s="3"/>
      <c r="F6" s="159" t="s">
        <v>62</v>
      </c>
      <c r="G6" s="191" t="s">
        <v>97</v>
      </c>
      <c r="H6" s="83"/>
      <c r="I6" s="64" t="s">
        <v>64</v>
      </c>
      <c r="J6" s="33"/>
      <c r="K6" s="84" t="s">
        <v>63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0"/>
      <c r="G7" s="194"/>
      <c r="H7" s="85" t="s">
        <v>92</v>
      </c>
      <c r="I7" s="18">
        <v>2708</v>
      </c>
      <c r="J7" s="34" t="s">
        <v>92</v>
      </c>
      <c r="K7" s="145">
        <v>3183</v>
      </c>
    </row>
    <row r="8" spans="2:11" s="2" customFormat="1" ht="15" x14ac:dyDescent="0.25">
      <c r="B8" s="55" t="s">
        <v>0</v>
      </c>
      <c r="C8" s="4">
        <v>2</v>
      </c>
      <c r="D8" s="167" t="s">
        <v>53</v>
      </c>
      <c r="E8" s="167"/>
      <c r="F8" s="185">
        <v>0.3</v>
      </c>
      <c r="G8" s="193" t="s">
        <v>98</v>
      </c>
      <c r="H8" s="137" t="s">
        <v>92</v>
      </c>
      <c r="I8" s="122">
        <f>ROUND(I7*(1+F8),2)</f>
        <v>3520.4</v>
      </c>
      <c r="J8" s="138" t="s">
        <v>92</v>
      </c>
      <c r="K8" s="124">
        <f>ROUND(K7*(1+F8),2)</f>
        <v>4137.8999999999996</v>
      </c>
    </row>
    <row r="9" spans="2:11" s="2" customFormat="1" x14ac:dyDescent="0.25">
      <c r="B9" s="168"/>
      <c r="C9" s="36">
        <v>3</v>
      </c>
      <c r="D9" s="16" t="s">
        <v>5</v>
      </c>
      <c r="E9" s="16"/>
      <c r="F9" s="160">
        <v>4.33</v>
      </c>
      <c r="G9" s="194" t="s">
        <v>65</v>
      </c>
      <c r="H9" s="85" t="s">
        <v>92</v>
      </c>
      <c r="I9" s="18">
        <f>ROUND(I8/F9,2)</f>
        <v>813.03</v>
      </c>
      <c r="J9" s="34" t="s">
        <v>92</v>
      </c>
      <c r="K9" s="145">
        <f>ROUND(K8/F9,2)</f>
        <v>955.64</v>
      </c>
    </row>
    <row r="10" spans="2:11" s="2" customFormat="1" x14ac:dyDescent="0.25">
      <c r="B10" s="3" t="s">
        <v>0</v>
      </c>
      <c r="C10" s="4">
        <v>4</v>
      </c>
      <c r="D10" s="26" t="s">
        <v>94</v>
      </c>
      <c r="E10" s="26"/>
      <c r="F10" s="157">
        <v>40</v>
      </c>
      <c r="G10" s="195" t="s">
        <v>66</v>
      </c>
      <c r="H10" s="89" t="s">
        <v>92</v>
      </c>
      <c r="I10" s="71">
        <f>ROUND(I9/F10,2)</f>
        <v>20.329999999999998</v>
      </c>
      <c r="J10" s="70" t="s">
        <v>92</v>
      </c>
      <c r="K10" s="90">
        <f>ROUND(K9/F10,2)</f>
        <v>23.89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7"/>
      <c r="G11" s="195"/>
      <c r="H11" s="89"/>
      <c r="I11" s="71"/>
      <c r="J11" s="70"/>
      <c r="K11" s="90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1">
        <v>0.21829999999999999</v>
      </c>
      <c r="G12" s="196" t="s">
        <v>67</v>
      </c>
      <c r="H12" s="89" t="s">
        <v>92</v>
      </c>
      <c r="I12" s="71">
        <f>ROUND($I$8*F12,2)</f>
        <v>768.5</v>
      </c>
      <c r="J12" s="70" t="s">
        <v>92</v>
      </c>
      <c r="K12" s="90">
        <f>ROUND($K$8*F12,2)</f>
        <v>903.3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1">
        <v>4.4999999999999998E-2</v>
      </c>
      <c r="G13" s="196" t="s">
        <v>68</v>
      </c>
      <c r="H13" s="89" t="s">
        <v>92</v>
      </c>
      <c r="I13" s="71">
        <f>ROUND($I$8*F13,2)</f>
        <v>158.41999999999999</v>
      </c>
      <c r="J13" s="70" t="s">
        <v>92</v>
      </c>
      <c r="K13" s="90">
        <f>ROUND($K$8*F13,2)</f>
        <v>186.21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1">
        <v>0.03</v>
      </c>
      <c r="G14" s="196" t="s">
        <v>69</v>
      </c>
      <c r="H14" s="89" t="s">
        <v>92</v>
      </c>
      <c r="I14" s="71">
        <f>ROUND($I$8*F14,2)</f>
        <v>105.61</v>
      </c>
      <c r="J14" s="70" t="s">
        <v>92</v>
      </c>
      <c r="K14" s="90">
        <f>ROUND($K$8*F14,2)</f>
        <v>124.14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1">
        <v>1.5299999999999999E-2</v>
      </c>
      <c r="G15" s="196" t="s">
        <v>70</v>
      </c>
      <c r="H15" s="89" t="s">
        <v>92</v>
      </c>
      <c r="I15" s="71">
        <f>ROUND($I$8*F15,2)</f>
        <v>53.86</v>
      </c>
      <c r="J15" s="70" t="s">
        <v>92</v>
      </c>
      <c r="K15" s="90">
        <f>ROUND($K$8*F15,2)</f>
        <v>63.31</v>
      </c>
    </row>
    <row r="16" spans="2:11" s="2" customFormat="1" x14ac:dyDescent="0.25">
      <c r="B16" s="3"/>
      <c r="C16" s="4">
        <v>10</v>
      </c>
      <c r="D16" s="29" t="s">
        <v>88</v>
      </c>
      <c r="E16" s="29"/>
      <c r="F16" s="169">
        <f>SUM(F12:F15)</f>
        <v>0.30859999999999999</v>
      </c>
      <c r="G16" s="197" t="s">
        <v>71</v>
      </c>
      <c r="H16" s="121" t="s">
        <v>92</v>
      </c>
      <c r="I16" s="128">
        <f>ROUND($I$8*F16,2)</f>
        <v>1086.4000000000001</v>
      </c>
      <c r="J16" s="123" t="s">
        <v>92</v>
      </c>
      <c r="K16" s="129">
        <f>ROUND($K$8*F16,2)</f>
        <v>1276.96</v>
      </c>
    </row>
    <row r="17" spans="2:11" s="2" customFormat="1" x14ac:dyDescent="0.25">
      <c r="B17" s="168" t="s">
        <v>54</v>
      </c>
      <c r="C17" s="16"/>
      <c r="D17" s="170" t="s">
        <v>90</v>
      </c>
      <c r="E17" s="171"/>
      <c r="F17" s="172"/>
      <c r="G17" s="198"/>
      <c r="H17" s="173"/>
      <c r="I17" s="174"/>
      <c r="J17" s="175"/>
      <c r="K17" s="176"/>
    </row>
    <row r="18" spans="2:11" s="2" customFormat="1" x14ac:dyDescent="0.25">
      <c r="B18" s="21" t="s">
        <v>55</v>
      </c>
      <c r="C18" s="4">
        <v>11</v>
      </c>
      <c r="D18" s="26" t="s">
        <v>88</v>
      </c>
      <c r="E18" s="26"/>
      <c r="F18" s="161">
        <f>F16-0.94%</f>
        <v>0.29920000000000002</v>
      </c>
      <c r="G18" s="196" t="s">
        <v>72</v>
      </c>
      <c r="H18" s="89" t="s">
        <v>92</v>
      </c>
      <c r="I18" s="71">
        <f>ROUND($I$8*F18,2)</f>
        <v>1053.3</v>
      </c>
      <c r="J18" s="70" t="s">
        <v>92</v>
      </c>
      <c r="K18" s="90">
        <f>ROUND($K$8*F18,2)</f>
        <v>1238.06</v>
      </c>
    </row>
    <row r="19" spans="2:11" s="2" customFormat="1" ht="6" customHeight="1" x14ac:dyDescent="0.25">
      <c r="B19" s="3"/>
      <c r="F19" s="162"/>
      <c r="G19" s="199"/>
      <c r="H19" s="88"/>
      <c r="I19" s="17"/>
      <c r="J19" s="37"/>
      <c r="K19" s="86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3"/>
      <c r="G20" s="200" t="s">
        <v>73</v>
      </c>
      <c r="H20" s="117" t="s">
        <v>92</v>
      </c>
      <c r="I20" s="49">
        <f>ROUND((I8+I18)*2,2)</f>
        <v>9147.4</v>
      </c>
      <c r="J20" s="48" t="s">
        <v>92</v>
      </c>
      <c r="K20" s="118">
        <f>ROUND((K8+K18)*2,2)</f>
        <v>10751.92</v>
      </c>
    </row>
    <row r="21" spans="2:11" s="2" customFormat="1" ht="12.75" customHeight="1" thickBot="1" x14ac:dyDescent="0.3">
      <c r="B21" s="3"/>
      <c r="D21" s="43"/>
      <c r="E21" s="43"/>
      <c r="F21" s="44"/>
      <c r="G21" s="201"/>
      <c r="H21" s="87"/>
      <c r="I21" s="54"/>
      <c r="J21" s="4"/>
      <c r="K21" s="146"/>
    </row>
    <row r="22" spans="2:11" s="2" customFormat="1" ht="18" customHeight="1" x14ac:dyDescent="0.25">
      <c r="B22" s="58" t="s">
        <v>6</v>
      </c>
      <c r="C22" s="59">
        <v>13</v>
      </c>
      <c r="D22" s="60" t="s">
        <v>95</v>
      </c>
      <c r="E22" s="61"/>
      <c r="F22" s="156"/>
      <c r="G22" s="202" t="s">
        <v>101</v>
      </c>
      <c r="H22" s="119"/>
      <c r="I22" s="63">
        <f>ROUND(((I8+I16)*12+I20)/12,2)</f>
        <v>5369.08</v>
      </c>
      <c r="J22" s="62"/>
      <c r="K22" s="120">
        <f>ROUND(((K8+K16)*12+K20)/12,2)</f>
        <v>6310.85</v>
      </c>
    </row>
    <row r="23" spans="2:11" s="2" customFormat="1" ht="6" customHeight="1" x14ac:dyDescent="0.25">
      <c r="B23" s="3"/>
      <c r="C23" s="4"/>
      <c r="F23" s="154"/>
      <c r="G23" s="191"/>
      <c r="H23" s="87"/>
      <c r="I23" s="17"/>
      <c r="J23" s="35"/>
      <c r="K23" s="86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4">
        <v>365</v>
      </c>
      <c r="G24" s="191"/>
      <c r="H24" s="87"/>
      <c r="I24" s="17">
        <v>365</v>
      </c>
      <c r="J24" s="35"/>
      <c r="K24" s="86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7">
        <v>52</v>
      </c>
      <c r="G25" s="195" t="s">
        <v>74</v>
      </c>
      <c r="H25" s="89"/>
      <c r="I25" s="71">
        <f>F25*2</f>
        <v>104</v>
      </c>
      <c r="J25" s="70"/>
      <c r="K25" s="90">
        <f>F25*2</f>
        <v>104</v>
      </c>
    </row>
    <row r="26" spans="2:11" s="2" customFormat="1" x14ac:dyDescent="0.25">
      <c r="B26" s="3"/>
      <c r="C26" s="4">
        <v>16</v>
      </c>
      <c r="D26" s="26" t="s">
        <v>123</v>
      </c>
      <c r="E26" s="26"/>
      <c r="F26" s="186">
        <v>12</v>
      </c>
      <c r="G26" s="195"/>
      <c r="H26" s="89"/>
      <c r="I26" s="71">
        <f>F26</f>
        <v>12</v>
      </c>
      <c r="J26" s="70"/>
      <c r="K26" s="90">
        <f>F26</f>
        <v>12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8"/>
      <c r="G27" s="195" t="s">
        <v>99</v>
      </c>
      <c r="H27" s="89"/>
      <c r="I27" s="72">
        <f>I24-I25-I26</f>
        <v>249</v>
      </c>
      <c r="J27" s="70"/>
      <c r="K27" s="91">
        <f>K24-K25-K26</f>
        <v>249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6">
        <v>25</v>
      </c>
      <c r="G28" s="195"/>
      <c r="H28" s="89"/>
      <c r="I28" s="71">
        <f>F28</f>
        <v>25</v>
      </c>
      <c r="J28" s="70"/>
      <c r="K28" s="90">
        <f>F28</f>
        <v>25</v>
      </c>
    </row>
    <row r="29" spans="2:11" s="2" customFormat="1" x14ac:dyDescent="0.25">
      <c r="B29" s="3"/>
      <c r="C29" s="4" t="s">
        <v>120</v>
      </c>
      <c r="D29" s="26" t="s">
        <v>122</v>
      </c>
      <c r="E29" s="26"/>
      <c r="F29" s="157">
        <v>14.9</v>
      </c>
      <c r="G29" s="195"/>
      <c r="H29" s="89"/>
      <c r="I29" s="71">
        <f>F29</f>
        <v>14.9</v>
      </c>
      <c r="J29" s="70"/>
      <c r="K29" s="90">
        <f>F29</f>
        <v>14.9</v>
      </c>
    </row>
    <row r="30" spans="2:11" s="2" customFormat="1" x14ac:dyDescent="0.25">
      <c r="B30" s="3"/>
      <c r="C30" s="4" t="s">
        <v>119</v>
      </c>
      <c r="D30" s="26" t="s">
        <v>121</v>
      </c>
      <c r="E30" s="26"/>
      <c r="F30" s="186">
        <v>0</v>
      </c>
      <c r="G30" s="195"/>
      <c r="H30" s="89"/>
      <c r="I30" s="71">
        <f>F30</f>
        <v>0</v>
      </c>
      <c r="J30" s="70"/>
      <c r="K30" s="90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8"/>
      <c r="G31" s="195" t="s">
        <v>75</v>
      </c>
      <c r="H31" s="89"/>
      <c r="I31" s="72">
        <f>I27-I28-I29-I30</f>
        <v>209.1</v>
      </c>
      <c r="J31" s="70"/>
      <c r="K31" s="91">
        <f>K27-K28-K29-K30</f>
        <v>209.1</v>
      </c>
    </row>
    <row r="32" spans="2:11" s="2" customFormat="1" ht="9" customHeight="1" x14ac:dyDescent="0.25">
      <c r="B32" s="3"/>
      <c r="D32" s="29"/>
      <c r="E32" s="29"/>
      <c r="F32" s="152"/>
      <c r="G32" s="197"/>
      <c r="H32" s="121"/>
      <c r="I32" s="128"/>
      <c r="J32" s="123"/>
      <c r="K32" s="129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7">
        <v>8</v>
      </c>
      <c r="G33" s="203"/>
      <c r="H33" s="130"/>
      <c r="I33" s="131">
        <f>F33</f>
        <v>8</v>
      </c>
      <c r="J33" s="132"/>
      <c r="K33" s="133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7"/>
      <c r="G34" s="195" t="s">
        <v>76</v>
      </c>
      <c r="H34" s="89"/>
      <c r="I34" s="71">
        <f>ROUND(I31*I33,2)</f>
        <v>1672.8</v>
      </c>
      <c r="J34" s="70"/>
      <c r="K34" s="90">
        <f>ROUND(K31*K33,2)</f>
        <v>1672.8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2"/>
      <c r="G35" s="197" t="s">
        <v>77</v>
      </c>
      <c r="H35" s="121"/>
      <c r="I35" s="122">
        <f>ROUND(I34/12,2)</f>
        <v>139.4</v>
      </c>
      <c r="J35" s="123"/>
      <c r="K35" s="124">
        <f>ROUND(K31/K24*30.4167*8,2)</f>
        <v>139.4</v>
      </c>
    </row>
    <row r="36" spans="2:11" s="2" customFormat="1" ht="12.75" customHeight="1" thickBot="1" x14ac:dyDescent="0.3">
      <c r="B36" s="3"/>
      <c r="C36" s="4"/>
      <c r="D36" s="29"/>
      <c r="E36" s="10" t="s">
        <v>91</v>
      </c>
      <c r="F36" s="147" t="s">
        <v>60</v>
      </c>
      <c r="G36" s="204"/>
      <c r="H36" s="125"/>
      <c r="I36" s="115"/>
      <c r="J36" s="126"/>
      <c r="K36" s="116"/>
    </row>
    <row r="37" spans="2:11" s="2" customFormat="1" x14ac:dyDescent="0.25">
      <c r="B37" s="3" t="s">
        <v>16</v>
      </c>
      <c r="C37" s="4">
        <v>24</v>
      </c>
      <c r="D37" s="30" t="s">
        <v>61</v>
      </c>
      <c r="E37" s="127">
        <v>8</v>
      </c>
      <c r="F37" s="187">
        <v>8</v>
      </c>
      <c r="G37" s="196" t="s">
        <v>102</v>
      </c>
      <c r="H37" s="89"/>
      <c r="I37" s="71">
        <f t="shared" ref="I37:I43" si="0">ROUND(F37*$I$33,2)</f>
        <v>64</v>
      </c>
      <c r="J37" s="70"/>
      <c r="K37" s="90">
        <f t="shared" ref="K37:K43" si="1">ROUND(F37*$K$33,2)</f>
        <v>64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6">
        <v>2</v>
      </c>
      <c r="G38" s="196" t="s">
        <v>103</v>
      </c>
      <c r="H38" s="89"/>
      <c r="I38" s="71">
        <f t="shared" si="0"/>
        <v>16</v>
      </c>
      <c r="J38" s="70"/>
      <c r="K38" s="90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6">
        <v>2</v>
      </c>
      <c r="G39" s="196" t="s">
        <v>104</v>
      </c>
      <c r="H39" s="89"/>
      <c r="I39" s="71">
        <f t="shared" si="0"/>
        <v>16</v>
      </c>
      <c r="J39" s="70"/>
      <c r="K39" s="90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8</v>
      </c>
      <c r="F40" s="186">
        <v>8</v>
      </c>
      <c r="G40" s="196" t="s">
        <v>105</v>
      </c>
      <c r="H40" s="89"/>
      <c r="I40" s="71">
        <f t="shared" si="0"/>
        <v>64</v>
      </c>
      <c r="J40" s="70"/>
      <c r="K40" s="90">
        <f t="shared" si="1"/>
        <v>64</v>
      </c>
    </row>
    <row r="41" spans="2:11" s="2" customFormat="1" x14ac:dyDescent="0.25">
      <c r="B41" s="3"/>
      <c r="C41" s="4">
        <v>28</v>
      </c>
      <c r="D41" s="26" t="s">
        <v>109</v>
      </c>
      <c r="E41" s="28">
        <v>3</v>
      </c>
      <c r="F41" s="186">
        <v>3</v>
      </c>
      <c r="G41" s="196" t="s">
        <v>106</v>
      </c>
      <c r="H41" s="89"/>
      <c r="I41" s="71">
        <f t="shared" si="0"/>
        <v>24</v>
      </c>
      <c r="J41" s="70"/>
      <c r="K41" s="90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6">
        <v>5</v>
      </c>
      <c r="G42" s="196" t="s">
        <v>107</v>
      </c>
      <c r="H42" s="89"/>
      <c r="I42" s="71">
        <f t="shared" si="0"/>
        <v>40</v>
      </c>
      <c r="J42" s="70"/>
      <c r="K42" s="90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10</v>
      </c>
      <c r="F43" s="186">
        <v>10</v>
      </c>
      <c r="G43" s="196" t="s">
        <v>108</v>
      </c>
      <c r="H43" s="89"/>
      <c r="I43" s="71">
        <f t="shared" si="0"/>
        <v>80</v>
      </c>
      <c r="J43" s="70"/>
      <c r="K43" s="90">
        <f t="shared" si="1"/>
        <v>80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1">
        <f>I44/I34</f>
        <v>0.1817</v>
      </c>
      <c r="G44" s="196" t="s">
        <v>89</v>
      </c>
      <c r="H44" s="89"/>
      <c r="I44" s="71">
        <f>ROUND(SUM(I37:I43),2)</f>
        <v>304</v>
      </c>
      <c r="J44" s="70"/>
      <c r="K44" s="90">
        <f>ROUND(SUM(K37:K43),2)</f>
        <v>304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1">
        <f>F44</f>
        <v>0.1817</v>
      </c>
      <c r="G45" s="196" t="s">
        <v>100</v>
      </c>
      <c r="H45" s="89"/>
      <c r="I45" s="72">
        <f>ROUND(F45*I35,2)</f>
        <v>25.33</v>
      </c>
      <c r="J45" s="70"/>
      <c r="K45" s="91">
        <f>ROUND(F45*K35,2)</f>
        <v>25.33</v>
      </c>
    </row>
    <row r="46" spans="2:11" s="2" customFormat="1" x14ac:dyDescent="0.25">
      <c r="B46" s="3"/>
      <c r="D46" s="29"/>
      <c r="E46" s="29"/>
      <c r="F46" s="152"/>
      <c r="G46" s="197"/>
      <c r="H46" s="134"/>
      <c r="I46" s="128"/>
      <c r="J46" s="135"/>
      <c r="K46" s="129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3"/>
      <c r="G47" s="203" t="s">
        <v>78</v>
      </c>
      <c r="H47" s="130"/>
      <c r="I47" s="131">
        <f>ROUND(I34-I44,2)</f>
        <v>1368.8</v>
      </c>
      <c r="J47" s="132"/>
      <c r="K47" s="133">
        <f>ROUND(K34-K44,2)</f>
        <v>1368.8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4"/>
      <c r="G48" s="191" t="s">
        <v>79</v>
      </c>
      <c r="H48" s="87"/>
      <c r="I48" s="19">
        <f>ROUND(I35-I45,2)</f>
        <v>114.07</v>
      </c>
      <c r="J48" s="35"/>
      <c r="K48" s="92">
        <f>ROUND(K35-K45,2)</f>
        <v>114.07</v>
      </c>
    </row>
    <row r="49" spans="2:14" s="2" customFormat="1" ht="18.75" customHeight="1" x14ac:dyDescent="0.25">
      <c r="B49" s="180" t="s">
        <v>23</v>
      </c>
      <c r="C49" s="181">
        <v>35</v>
      </c>
      <c r="D49" s="182" t="s">
        <v>47</v>
      </c>
      <c r="E49" s="183"/>
      <c r="F49" s="184"/>
      <c r="G49" s="205" t="s">
        <v>80</v>
      </c>
      <c r="H49" s="106" t="s">
        <v>92</v>
      </c>
      <c r="I49" s="103">
        <f>ROUND(I22/I48,2)</f>
        <v>47.07</v>
      </c>
      <c r="J49" s="107" t="s">
        <v>92</v>
      </c>
      <c r="K49" s="105">
        <f>ROUND(K22/K48,2)</f>
        <v>55.32</v>
      </c>
    </row>
    <row r="50" spans="2:14" s="2" customFormat="1" ht="6" customHeight="1" x14ac:dyDescent="0.25">
      <c r="B50" s="3"/>
      <c r="F50" s="4"/>
      <c r="G50" s="191"/>
      <c r="H50" s="108"/>
      <c r="I50" s="54"/>
      <c r="J50" s="38"/>
      <c r="K50" s="86"/>
    </row>
    <row r="51" spans="2:14" s="2" customFormat="1" ht="6.75" customHeight="1" x14ac:dyDescent="0.25">
      <c r="B51" s="3"/>
      <c r="F51" s="4"/>
      <c r="G51" s="191"/>
      <c r="H51" s="108"/>
      <c r="I51" s="54"/>
      <c r="J51" s="38"/>
      <c r="K51" s="86"/>
    </row>
    <row r="52" spans="2:14" s="79" customFormat="1" ht="16.5" customHeight="1" x14ac:dyDescent="0.25">
      <c r="B52" s="74" t="s">
        <v>48</v>
      </c>
      <c r="C52" s="80"/>
      <c r="D52" s="75"/>
      <c r="E52" s="75"/>
      <c r="F52" s="81"/>
      <c r="G52" s="219"/>
      <c r="H52" s="109"/>
      <c r="I52" s="82"/>
      <c r="J52" s="81"/>
      <c r="K52" s="99"/>
    </row>
    <row r="53" spans="2:14" s="2" customFormat="1" ht="5.25" customHeight="1" x14ac:dyDescent="0.25">
      <c r="B53" s="3"/>
      <c r="F53" s="4"/>
      <c r="G53" s="191"/>
      <c r="H53" s="108"/>
      <c r="I53" s="54"/>
      <c r="J53" s="38"/>
      <c r="K53" s="86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00"/>
      <c r="H54" s="110"/>
      <c r="I54" s="96" t="s">
        <v>0</v>
      </c>
      <c r="J54" s="95"/>
      <c r="K54" s="92" t="s">
        <v>0</v>
      </c>
    </row>
    <row r="55" spans="2:14" s="2" customFormat="1" ht="15" thickBot="1" x14ac:dyDescent="0.3">
      <c r="B55" s="8" t="s">
        <v>26</v>
      </c>
      <c r="D55" s="5"/>
      <c r="E55" s="10" t="s">
        <v>91</v>
      </c>
      <c r="F55" s="147" t="s">
        <v>59</v>
      </c>
      <c r="G55" s="208"/>
      <c r="H55" s="112"/>
      <c r="I55" s="20"/>
      <c r="J55" s="113"/>
      <c r="K55" s="114"/>
    </row>
    <row r="56" spans="2:14" s="2" customFormat="1" x14ac:dyDescent="0.25">
      <c r="B56" s="3"/>
      <c r="C56" s="2">
        <v>36</v>
      </c>
      <c r="D56" s="2" t="s">
        <v>93</v>
      </c>
      <c r="E56" s="9">
        <v>7.0000000000000007E-2</v>
      </c>
      <c r="F56" s="188">
        <v>7.0000000000000007E-2</v>
      </c>
      <c r="G56" s="208"/>
      <c r="H56" s="97"/>
      <c r="I56" s="17"/>
      <c r="J56" s="41"/>
      <c r="K56" s="86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89">
        <v>0.15</v>
      </c>
      <c r="G57" s="209"/>
      <c r="H57" s="97"/>
      <c r="I57" s="17"/>
      <c r="J57" s="41"/>
      <c r="K57" s="86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89">
        <v>0.05</v>
      </c>
      <c r="G58" s="209"/>
      <c r="H58" s="97"/>
      <c r="I58" s="17"/>
      <c r="J58" s="41"/>
      <c r="K58" s="86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89">
        <v>0.08</v>
      </c>
      <c r="G59" s="209"/>
      <c r="H59" s="97"/>
      <c r="I59" s="17"/>
      <c r="J59" s="41"/>
      <c r="K59" s="86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89">
        <v>0.03</v>
      </c>
      <c r="G60" s="209"/>
      <c r="H60" s="97"/>
      <c r="I60" s="17"/>
      <c r="J60" s="41"/>
      <c r="K60" s="86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89">
        <v>0.05</v>
      </c>
      <c r="G61" s="209"/>
      <c r="H61" s="97"/>
      <c r="I61" s="17"/>
      <c r="J61" s="41"/>
      <c r="K61" s="86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89">
        <v>0.01</v>
      </c>
      <c r="G62" s="209"/>
      <c r="H62" s="97"/>
      <c r="I62" s="17"/>
      <c r="J62" s="41"/>
      <c r="K62" s="86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89">
        <v>0.02</v>
      </c>
      <c r="G63" s="209"/>
      <c r="H63" s="97"/>
      <c r="I63" s="17"/>
      <c r="J63" s="41"/>
      <c r="K63" s="86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89">
        <v>0.02</v>
      </c>
      <c r="G64" s="209"/>
      <c r="H64" s="97"/>
      <c r="I64" s="17"/>
      <c r="J64" s="41"/>
      <c r="K64" s="86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89">
        <v>0.01</v>
      </c>
      <c r="G65" s="209"/>
      <c r="H65" s="97"/>
      <c r="I65" s="17"/>
      <c r="J65" s="41"/>
      <c r="K65" s="86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89">
        <v>0.02</v>
      </c>
      <c r="G66" s="209"/>
      <c r="H66" s="97"/>
      <c r="I66" s="17"/>
      <c r="J66" s="41"/>
      <c r="K66" s="86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89">
        <v>0.02</v>
      </c>
      <c r="G67" s="209"/>
      <c r="H67" s="97"/>
      <c r="I67" s="17"/>
      <c r="J67" s="41"/>
      <c r="K67" s="86"/>
    </row>
    <row r="68" spans="2:17" s="2" customFormat="1" x14ac:dyDescent="0.25">
      <c r="B68" s="8" t="s">
        <v>111</v>
      </c>
      <c r="C68" s="2">
        <v>48</v>
      </c>
      <c r="D68" s="26" t="s">
        <v>112</v>
      </c>
      <c r="E68" s="22">
        <v>0.15</v>
      </c>
      <c r="F68" s="189">
        <v>0.15</v>
      </c>
      <c r="G68" s="209"/>
      <c r="H68" s="111"/>
      <c r="I68" s="17"/>
      <c r="J68" s="40"/>
      <c r="K68" s="86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8">
        <f>SUM(F56:F68)</f>
        <v>0.68</v>
      </c>
      <c r="G69" s="206" t="s">
        <v>81</v>
      </c>
      <c r="H69" s="165" t="s">
        <v>92</v>
      </c>
      <c r="I69" s="53">
        <f>ROUND(F69*I49,2)</f>
        <v>32.01</v>
      </c>
      <c r="J69" s="52"/>
      <c r="K69" s="166">
        <f>ROUND(F69*K49,2)</f>
        <v>37.619999999999997</v>
      </c>
    </row>
    <row r="70" spans="2:17" s="2" customFormat="1" ht="5.25" customHeight="1" x14ac:dyDescent="0.25">
      <c r="B70" s="3"/>
      <c r="D70" s="16"/>
      <c r="E70" s="42"/>
      <c r="F70" s="42"/>
      <c r="G70" s="207"/>
      <c r="H70" s="97"/>
      <c r="I70" s="54"/>
      <c r="J70" s="9"/>
      <c r="K70" s="86"/>
    </row>
    <row r="71" spans="2:17" s="2" customFormat="1" ht="15" x14ac:dyDescent="0.25">
      <c r="B71" s="55" t="s">
        <v>39</v>
      </c>
      <c r="C71" s="7"/>
      <c r="D71" s="7" t="s">
        <v>0</v>
      </c>
      <c r="E71" s="177"/>
      <c r="F71" s="177"/>
      <c r="G71" s="208"/>
      <c r="H71" s="97"/>
      <c r="I71" s="96" t="s">
        <v>0</v>
      </c>
      <c r="J71" s="9"/>
      <c r="K71" s="92" t="s">
        <v>0</v>
      </c>
    </row>
    <row r="72" spans="2:17" s="2" customFormat="1" x14ac:dyDescent="0.25">
      <c r="B72" s="168"/>
      <c r="C72" s="16">
        <v>50</v>
      </c>
      <c r="D72" s="16" t="s">
        <v>37</v>
      </c>
      <c r="E72" s="42">
        <v>0.05</v>
      </c>
      <c r="F72" s="190">
        <v>0.05</v>
      </c>
      <c r="G72" s="207"/>
      <c r="H72" s="178"/>
      <c r="I72" s="18"/>
      <c r="J72" s="179"/>
      <c r="K72" s="145"/>
    </row>
    <row r="73" spans="2:17" s="2" customFormat="1" x14ac:dyDescent="0.25">
      <c r="B73" s="3"/>
      <c r="C73" s="2">
        <v>51</v>
      </c>
      <c r="D73" s="26" t="s">
        <v>110</v>
      </c>
      <c r="E73" s="22">
        <v>0.05</v>
      </c>
      <c r="F73" s="189">
        <v>0.05</v>
      </c>
      <c r="G73" s="209"/>
      <c r="H73" s="97"/>
      <c r="I73" s="17"/>
      <c r="J73" s="41"/>
      <c r="K73" s="86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89">
        <v>0.04</v>
      </c>
      <c r="G74" s="209"/>
      <c r="H74" s="97"/>
      <c r="I74" s="17"/>
      <c r="J74" s="41"/>
      <c r="K74" s="86"/>
    </row>
    <row r="75" spans="2:17" s="2" customFormat="1" ht="5.25" customHeight="1" x14ac:dyDescent="0.25">
      <c r="B75" s="3"/>
      <c r="D75" s="29"/>
      <c r="E75" s="136"/>
      <c r="F75" s="149"/>
      <c r="G75" s="193"/>
      <c r="H75" s="97"/>
      <c r="I75" s="17"/>
      <c r="J75" s="41"/>
      <c r="K75" s="86"/>
    </row>
    <row r="76" spans="2:17" s="2" customFormat="1" ht="15" x14ac:dyDescent="0.25">
      <c r="B76" s="3"/>
      <c r="C76" s="2">
        <v>53</v>
      </c>
      <c r="D76" s="139" t="s">
        <v>50</v>
      </c>
      <c r="E76" s="140">
        <f>SUM(E72:E75)</f>
        <v>0.14000000000000001</v>
      </c>
      <c r="F76" s="150">
        <f>SUM(F72:F75)</f>
        <v>0.14000000000000001</v>
      </c>
      <c r="G76" s="210" t="s">
        <v>82</v>
      </c>
      <c r="H76" s="141" t="s">
        <v>92</v>
      </c>
      <c r="I76" s="142">
        <f>ROUND(F76*I49,2)</f>
        <v>6.59</v>
      </c>
      <c r="J76" s="143"/>
      <c r="K76" s="144">
        <f>ROUND(F76*K49,2)</f>
        <v>7.74</v>
      </c>
    </row>
    <row r="77" spans="2:17" s="2" customFormat="1" ht="6.75" customHeight="1" x14ac:dyDescent="0.25">
      <c r="B77" s="3"/>
      <c r="D77" s="29"/>
      <c r="E77" s="136"/>
      <c r="F77" s="149"/>
      <c r="G77" s="193"/>
      <c r="H77" s="137"/>
      <c r="I77" s="128"/>
      <c r="J77" s="138"/>
      <c r="K77" s="129"/>
    </row>
    <row r="78" spans="2:17" s="2" customFormat="1" ht="15" x14ac:dyDescent="0.25">
      <c r="B78" s="3"/>
      <c r="C78" s="2">
        <v>54</v>
      </c>
      <c r="D78" s="139" t="s">
        <v>51</v>
      </c>
      <c r="E78" s="140">
        <f>E76+E69</f>
        <v>0.89</v>
      </c>
      <c r="F78" s="150">
        <f>F76+F69</f>
        <v>0.82</v>
      </c>
      <c r="G78" s="210" t="s">
        <v>83</v>
      </c>
      <c r="H78" s="141" t="s">
        <v>92</v>
      </c>
      <c r="I78" s="142">
        <f>ROUND(F78*I49,2)</f>
        <v>38.6</v>
      </c>
      <c r="J78" s="143"/>
      <c r="K78" s="144">
        <f>ROUND(F78*K49,2)</f>
        <v>45.36</v>
      </c>
    </row>
    <row r="79" spans="2:17" s="2" customFormat="1" ht="9" customHeight="1" x14ac:dyDescent="0.25">
      <c r="B79" s="3"/>
      <c r="F79" s="4"/>
      <c r="G79" s="191"/>
      <c r="H79" s="87"/>
      <c r="I79" s="54"/>
      <c r="J79" s="4"/>
      <c r="K79" s="86"/>
    </row>
    <row r="80" spans="2:17" s="79" customFormat="1" ht="16.5" customHeight="1" x14ac:dyDescent="0.25">
      <c r="B80" s="74" t="s">
        <v>96</v>
      </c>
      <c r="C80" s="75"/>
      <c r="D80" s="76"/>
      <c r="E80" s="75"/>
      <c r="F80" s="164"/>
      <c r="G80" s="211" t="s">
        <v>84</v>
      </c>
      <c r="H80" s="98" t="s">
        <v>92</v>
      </c>
      <c r="I80" s="77">
        <f>I49+I78</f>
        <v>85.67</v>
      </c>
      <c r="J80" s="78"/>
      <c r="K80" s="99">
        <f>ROUND(K49+K78,2)</f>
        <v>100.68</v>
      </c>
    </row>
    <row r="81" spans="2:11" s="2" customFormat="1" ht="5.25" customHeight="1" x14ac:dyDescent="0.25">
      <c r="B81" s="3"/>
      <c r="F81" s="4"/>
      <c r="G81" s="191"/>
      <c r="H81" s="87"/>
      <c r="I81" s="54"/>
      <c r="J81" s="4"/>
      <c r="K81" s="86"/>
    </row>
    <row r="82" spans="2:11" s="2" customFormat="1" ht="15" x14ac:dyDescent="0.25">
      <c r="B82" s="180" t="s">
        <v>126</v>
      </c>
      <c r="C82" s="183"/>
      <c r="D82" s="182"/>
      <c r="E82" s="183"/>
      <c r="F82" s="184"/>
      <c r="G82" s="205" t="s">
        <v>86</v>
      </c>
      <c r="H82" s="102" t="s">
        <v>92</v>
      </c>
      <c r="I82" s="103">
        <f>ROUND(I80*I48,2)</f>
        <v>9772.3799999999992</v>
      </c>
      <c r="J82" s="216"/>
      <c r="K82" s="105">
        <f>ROUND(K80*K48,2)</f>
        <v>11484.57</v>
      </c>
    </row>
    <row r="83" spans="2:11" s="2" customFormat="1" ht="5.25" customHeight="1" x14ac:dyDescent="0.25">
      <c r="B83" s="3"/>
      <c r="F83" s="4"/>
      <c r="G83" s="191"/>
      <c r="H83" s="87"/>
      <c r="I83" s="54"/>
      <c r="J83" s="217"/>
      <c r="K83" s="86"/>
    </row>
    <row r="84" spans="2:11" s="2" customFormat="1" ht="15.75" thickBot="1" x14ac:dyDescent="0.3">
      <c r="B84" s="23" t="s">
        <v>125</v>
      </c>
      <c r="C84" s="24"/>
      <c r="D84" s="25"/>
      <c r="E84" s="24"/>
      <c r="F84" s="155"/>
      <c r="G84" s="212" t="s">
        <v>85</v>
      </c>
      <c r="H84" s="100" t="s">
        <v>92</v>
      </c>
      <c r="I84" s="93">
        <f>ROUND(I80*I47,2)</f>
        <v>117265.1</v>
      </c>
      <c r="J84" s="218"/>
      <c r="K84" s="94">
        <f>ROUND(K80*K47,2)</f>
        <v>137810.78</v>
      </c>
    </row>
    <row r="86" spans="2:11" ht="3.75" customHeight="1" x14ac:dyDescent="0.2"/>
    <row r="87" spans="2:11" x14ac:dyDescent="0.2">
      <c r="B87" s="213" t="s">
        <v>143</v>
      </c>
      <c r="D87" s="213" t="s">
        <v>132</v>
      </c>
      <c r="E87" s="31" t="s">
        <v>87</v>
      </c>
      <c r="F87" s="69"/>
      <c r="G87" s="31" t="s">
        <v>118</v>
      </c>
    </row>
    <row r="88" spans="2:11" ht="3" customHeight="1" x14ac:dyDescent="0.2">
      <c r="E88" s="31"/>
    </row>
    <row r="89" spans="2:11" ht="36.75" customHeight="1" x14ac:dyDescent="0.2">
      <c r="B89" s="229" t="s">
        <v>142</v>
      </c>
      <c r="C89" s="229"/>
      <c r="D89" s="229"/>
      <c r="E89" s="229"/>
      <c r="F89" s="229"/>
      <c r="G89" s="229"/>
      <c r="H89" s="229"/>
      <c r="I89" s="229"/>
      <c r="J89" s="229"/>
      <c r="K89" s="229"/>
    </row>
  </sheetData>
  <sheetProtection algorithmName="SHA-512" hashValue="8DtwJ+y3fdTs+mMA1yZuT4nv0QWOUfSKHGHnCfHKbF+ieOMXCnfmei0OWFP2cLKt9Pe4owj1Yoqg1Y+CS1PoiQ==" saltValue="FArnf1AWrjxmzXSzHSelCQ==" spinCount="100000" sheet="1" objects="1" scenarios="1"/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KAT A1</vt:lpstr>
      <vt:lpstr>KAT A2</vt:lpstr>
      <vt:lpstr>KAT B+B1</vt:lpstr>
      <vt:lpstr>KAT_B2</vt:lpstr>
      <vt:lpstr>KAT C</vt:lpstr>
      <vt:lpstr>'KAT A1'!Druckbereich</vt:lpstr>
      <vt:lpstr>'KAT A2'!Druckbereich</vt:lpstr>
      <vt:lpstr>'KAT B+B1'!Druckbereich</vt:lpstr>
      <vt:lpstr>'KAT C'!Druckbereich</vt:lpstr>
      <vt:lpstr>KAT_B2!Druckbereich</vt:lpstr>
    </vt:vector>
  </TitlesOfParts>
  <Company>Tu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Helmut B.</cp:lastModifiedBy>
  <cp:lastPrinted>2023-12-21T13:34:02Z</cp:lastPrinted>
  <dcterms:created xsi:type="dcterms:W3CDTF">2012-01-25T12:08:23Z</dcterms:created>
  <dcterms:modified xsi:type="dcterms:W3CDTF">2024-01-12T08:34:28Z</dcterms:modified>
</cp:coreProperties>
</file>