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3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1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trlProps/ctrlProp3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echner.sharepoint.com/sites/filetest/Dokumente/Files Home Office/KK/G233 LM.VM/LM.VM.2023/Fehler/20240809 BIM/"/>
    </mc:Choice>
  </mc:AlternateContent>
  <xr:revisionPtr revIDLastSave="0" documentId="8_{A11A255D-20D9-4BF9-B744-7C7FD8D66230}" xr6:coauthVersionLast="47" xr6:coauthVersionMax="47" xr10:uidLastSave="{00000000-0000-0000-0000-000000000000}"/>
  <workbookProtection workbookPassword="C8DC" lockStructure="1"/>
  <bookViews>
    <workbookView xWindow="-28920" yWindow="-120" windowWidth="29040" windowHeight="17640" tabRatio="672" xr2:uid="{00000000-000D-0000-FFFF-FFFF00000000}"/>
  </bookViews>
  <sheets>
    <sheet name="Summenblatt Schule" sheetId="87" r:id="rId1"/>
    <sheet name="PS BIM" sheetId="89" r:id="rId2"/>
    <sheet name="GP2b Mgt. NEU BIM" sheetId="56" r:id="rId3"/>
    <sheet name="Objektplanung Architektur BIM" sheetId="79" r:id="rId4"/>
    <sheet name="Tragwerksplanung BIM" sheetId="82" r:id="rId5"/>
    <sheet name="TA_gesamt BIM" sheetId="88" r:id="rId6"/>
  </sheets>
  <definedNames>
    <definedName name="_1">'Summenblatt Schule'!$K$7</definedName>
    <definedName name="_1_9" comment="KB 1-9 = Errichtungskosten">'Summenblatt Schule'!$K$38</definedName>
    <definedName name="_2">'Summenblatt Schule'!$K$9</definedName>
    <definedName name="_3">'Summenblatt Schule'!$K$11</definedName>
    <definedName name="_3.01">'Summenblatt Schule'!$K$12</definedName>
    <definedName name="_3.02">'Summenblatt Schule'!$K$13</definedName>
    <definedName name="_3.03">'Summenblatt Schule'!$K$14</definedName>
    <definedName name="_3.04">'Summenblatt Schule'!$K$15</definedName>
    <definedName name="_3.05">'Summenblatt Schule'!$K$16</definedName>
    <definedName name="_3.06">'Summenblatt Schule'!$K$17</definedName>
    <definedName name="_3.07">'Summenblatt Schule'!$K$18</definedName>
    <definedName name="_3.08">'Summenblatt Schule'!$K$19</definedName>
    <definedName name="_4">'Summenblatt Schule'!$K$21</definedName>
    <definedName name="_5">'Summenblatt Schule'!$K$23</definedName>
    <definedName name="_5.01">'Summenblatt Schule'!$K$24</definedName>
    <definedName name="_5.02">'Summenblatt Schule'!$K$25</definedName>
    <definedName name="_5.03">'Summenblatt Schule'!$K$26</definedName>
    <definedName name="_6">'Summenblatt Schule'!$K$28</definedName>
    <definedName name="_7">'Summenblatt Schule'!$K$30</definedName>
    <definedName name="_8">'Summenblatt Schule'!$K$32</definedName>
    <definedName name="_9">'Summenblatt Schule'!$K$34</definedName>
    <definedName name="_EK">'Summenblatt Schule'!$K$38</definedName>
    <definedName name="_mvB" comment="mitzuverarbeitende Bausubstanz">'Summenblatt Schule'!$G$43</definedName>
    <definedName name="_xlnm.Print_Area" localSheetId="2">'GP2b Mgt. NEU BIM'!$A$1:$AM$101</definedName>
    <definedName name="_xlnm.Print_Area" localSheetId="3">'Objektplanung Architektur BIM'!$A$1:$AN$108</definedName>
    <definedName name="_xlnm.Print_Area" localSheetId="0">'Summenblatt Schule'!$A$1:$Z$92</definedName>
    <definedName name="_xlnm.Print_Area" localSheetId="5">'TA_gesamt BIM'!$A$1:$AM$105</definedName>
    <definedName name="_xlnm.Print_Area" localSheetId="4">'Tragwerksplanung BIM'!$A$2:$AM$97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89" l="1"/>
  <c r="F30" i="89"/>
  <c r="F26" i="89"/>
  <c r="F22" i="89" s="1"/>
  <c r="F20" i="89"/>
  <c r="F18" i="89"/>
  <c r="F17" i="89"/>
  <c r="F16" i="89"/>
  <c r="F15" i="89"/>
  <c r="K23" i="87"/>
  <c r="K11" i="87"/>
  <c r="G83" i="82" l="1"/>
  <c r="E83" i="82"/>
  <c r="E68" i="89"/>
  <c r="E69" i="89"/>
  <c r="E70" i="89"/>
  <c r="G94" i="79"/>
  <c r="E94" i="79"/>
  <c r="G55" i="82"/>
  <c r="K89" i="56"/>
  <c r="AG11" i="88"/>
  <c r="AG7" i="88"/>
  <c r="AG5" i="82"/>
  <c r="AH5" i="79"/>
  <c r="AF7" i="56"/>
  <c r="AH7" i="79"/>
  <c r="AF5" i="56"/>
  <c r="AF3" i="56"/>
  <c r="AG3" i="82"/>
  <c r="AG3" i="88"/>
  <c r="O13" i="87"/>
  <c r="AF21" i="56"/>
  <c r="AH20" i="79"/>
  <c r="AF19" i="56"/>
  <c r="AG19" i="82"/>
  <c r="AG21" i="88"/>
  <c r="AF17" i="56"/>
  <c r="AH17" i="79"/>
  <c r="AF15" i="56"/>
  <c r="AG17" i="82"/>
  <c r="AG19" i="88"/>
  <c r="AE22" i="89"/>
  <c r="AE20" i="89"/>
  <c r="AE17" i="89"/>
  <c r="AE15" i="89"/>
  <c r="AE5" i="89"/>
  <c r="AE3" i="89"/>
  <c r="L71" i="89"/>
  <c r="E71" i="89"/>
  <c r="F71" i="89"/>
  <c r="L70" i="89"/>
  <c r="F70" i="89"/>
  <c r="L69" i="89"/>
  <c r="F69" i="89"/>
  <c r="F72" i="89"/>
  <c r="F75" i="89"/>
  <c r="L68" i="89"/>
  <c r="F68" i="89"/>
  <c r="L67" i="89"/>
  <c r="E67" i="89"/>
  <c r="F67" i="89"/>
  <c r="M80" i="88"/>
  <c r="F80" i="88"/>
  <c r="G80" i="88"/>
  <c r="M79" i="88"/>
  <c r="F79" i="88"/>
  <c r="G79" i="88"/>
  <c r="M78" i="88"/>
  <c r="F78" i="88"/>
  <c r="G78" i="88"/>
  <c r="M77" i="88"/>
  <c r="F77" i="88"/>
  <c r="G77" i="88"/>
  <c r="M76" i="88"/>
  <c r="F76" i="88"/>
  <c r="G76" i="88" s="1"/>
  <c r="M75" i="88"/>
  <c r="F75" i="88"/>
  <c r="G75" i="88"/>
  <c r="M74" i="88"/>
  <c r="F74" i="88"/>
  <c r="G74" i="88"/>
  <c r="M73" i="88"/>
  <c r="F73" i="88"/>
  <c r="G73" i="88" s="1"/>
  <c r="M72" i="88"/>
  <c r="F72" i="88"/>
  <c r="M71" i="88"/>
  <c r="F71" i="88"/>
  <c r="M78" i="82"/>
  <c r="F78" i="82"/>
  <c r="G78" i="82"/>
  <c r="M77" i="82"/>
  <c r="F77" i="82"/>
  <c r="G77" i="82"/>
  <c r="M76" i="82"/>
  <c r="F76" i="82"/>
  <c r="G76" i="82"/>
  <c r="M75" i="82"/>
  <c r="F75" i="82"/>
  <c r="G75" i="82"/>
  <c r="M74" i="82"/>
  <c r="F74" i="82"/>
  <c r="G74" i="82"/>
  <c r="M73" i="82"/>
  <c r="F73" i="82"/>
  <c r="G73" i="82"/>
  <c r="M72" i="82"/>
  <c r="F72" i="82"/>
  <c r="G72" i="82"/>
  <c r="M71" i="82"/>
  <c r="F71" i="82"/>
  <c r="G71" i="82"/>
  <c r="M70" i="82"/>
  <c r="F70" i="82"/>
  <c r="G70" i="82"/>
  <c r="M69" i="82"/>
  <c r="F69" i="82"/>
  <c r="G69" i="82"/>
  <c r="G79" i="82"/>
  <c r="N83" i="79"/>
  <c r="F83" i="79"/>
  <c r="G83" i="79"/>
  <c r="N82" i="79"/>
  <c r="F82" i="79"/>
  <c r="G82" i="79"/>
  <c r="N81" i="79"/>
  <c r="F81" i="79"/>
  <c r="G81" i="79"/>
  <c r="N80" i="79"/>
  <c r="F80" i="79"/>
  <c r="G80" i="79"/>
  <c r="N79" i="79"/>
  <c r="F79" i="79"/>
  <c r="G79" i="79"/>
  <c r="N78" i="79"/>
  <c r="F78" i="79"/>
  <c r="G78" i="79"/>
  <c r="N77" i="79"/>
  <c r="F77" i="79"/>
  <c r="G77" i="79"/>
  <c r="N76" i="79"/>
  <c r="F76" i="79"/>
  <c r="G76" i="79"/>
  <c r="N75" i="79"/>
  <c r="F75" i="79"/>
  <c r="G75" i="79"/>
  <c r="N74" i="79"/>
  <c r="F74" i="79"/>
  <c r="M81" i="56"/>
  <c r="F81" i="56"/>
  <c r="M80" i="56"/>
  <c r="F80" i="56"/>
  <c r="G80" i="56"/>
  <c r="M79" i="56"/>
  <c r="F79" i="56"/>
  <c r="G79" i="56"/>
  <c r="M78" i="56"/>
  <c r="F78" i="56"/>
  <c r="G78" i="56"/>
  <c r="M77" i="56"/>
  <c r="F77" i="56"/>
  <c r="G77" i="56"/>
  <c r="M76" i="56"/>
  <c r="F76" i="56"/>
  <c r="G76" i="56"/>
  <c r="M75" i="56"/>
  <c r="F75" i="56"/>
  <c r="G75" i="56"/>
  <c r="M74" i="56"/>
  <c r="F74" i="56"/>
  <c r="G74" i="56"/>
  <c r="M73" i="56"/>
  <c r="F73" i="56"/>
  <c r="G73" i="56"/>
  <c r="M72" i="56"/>
  <c r="F72" i="56"/>
  <c r="AL72" i="89"/>
  <c r="AK72" i="89"/>
  <c r="AJ72" i="89"/>
  <c r="AI72" i="89"/>
  <c r="AH72" i="89"/>
  <c r="AG72" i="89"/>
  <c r="AF72" i="89"/>
  <c r="AE72" i="89"/>
  <c r="AD72" i="89"/>
  <c r="AC72" i="89"/>
  <c r="AB72" i="89"/>
  <c r="AA72" i="89"/>
  <c r="Z72" i="89"/>
  <c r="Y72" i="89"/>
  <c r="X72" i="89"/>
  <c r="W72" i="89"/>
  <c r="V72" i="89"/>
  <c r="U72" i="89"/>
  <c r="T72" i="89"/>
  <c r="S72" i="89"/>
  <c r="R72" i="89"/>
  <c r="Q72" i="89"/>
  <c r="O72" i="89"/>
  <c r="N72" i="89"/>
  <c r="M72" i="89"/>
  <c r="F13" i="89"/>
  <c r="J13" i="89"/>
  <c r="F11" i="89"/>
  <c r="J11" i="89" s="1"/>
  <c r="F9" i="89"/>
  <c r="J9" i="89" s="1"/>
  <c r="F7" i="89"/>
  <c r="J7" i="89" s="1"/>
  <c r="J77" i="89"/>
  <c r="F53" i="89"/>
  <c r="F59" i="89"/>
  <c r="J34" i="89"/>
  <c r="J30" i="89"/>
  <c r="J28" i="89"/>
  <c r="J26" i="89"/>
  <c r="J25" i="89"/>
  <c r="J24" i="89"/>
  <c r="J23" i="89"/>
  <c r="J20" i="89"/>
  <c r="J18" i="89"/>
  <c r="J17" i="89"/>
  <c r="J16" i="89"/>
  <c r="E81" i="88"/>
  <c r="E91" i="88" s="1"/>
  <c r="E79" i="82"/>
  <c r="E82" i="56"/>
  <c r="E84" i="79"/>
  <c r="AG9" i="82"/>
  <c r="R79" i="82"/>
  <c r="S79" i="82"/>
  <c r="T79" i="82"/>
  <c r="AH9" i="79"/>
  <c r="N82" i="56"/>
  <c r="O82" i="56"/>
  <c r="P82" i="56"/>
  <c r="R82" i="56"/>
  <c r="S82" i="56"/>
  <c r="T82" i="56"/>
  <c r="U82" i="56"/>
  <c r="V82" i="56"/>
  <c r="W82" i="56"/>
  <c r="X82" i="56"/>
  <c r="Y82" i="56"/>
  <c r="Z82" i="56"/>
  <c r="AA82" i="56"/>
  <c r="AB82" i="56"/>
  <c r="AC82" i="56"/>
  <c r="AD82" i="56"/>
  <c r="AE82" i="56"/>
  <c r="AF82" i="56"/>
  <c r="AG82" i="56"/>
  <c r="AH82" i="56"/>
  <c r="AI82" i="56"/>
  <c r="AJ82" i="56"/>
  <c r="AK82" i="56"/>
  <c r="AL82" i="56"/>
  <c r="AM82" i="56"/>
  <c r="AN84" i="79"/>
  <c r="AM84" i="79"/>
  <c r="AM79" i="82"/>
  <c r="AL79" i="82"/>
  <c r="AE81" i="88"/>
  <c r="AF81" i="88"/>
  <c r="V81" i="88"/>
  <c r="T81" i="88"/>
  <c r="S81" i="88"/>
  <c r="U84" i="79"/>
  <c r="T84" i="79"/>
  <c r="AG21" i="82"/>
  <c r="AG23" i="88"/>
  <c r="AG15" i="82"/>
  <c r="AG17" i="88"/>
  <c r="AM81" i="88"/>
  <c r="AL81" i="88"/>
  <c r="AK81" i="88"/>
  <c r="AJ81" i="88"/>
  <c r="AI81" i="88"/>
  <c r="AH81" i="88"/>
  <c r="AG81" i="88"/>
  <c r="AD81" i="88"/>
  <c r="AC81" i="88"/>
  <c r="AB81" i="88"/>
  <c r="AA81" i="88"/>
  <c r="Z81" i="88"/>
  <c r="Y81" i="88"/>
  <c r="X81" i="88"/>
  <c r="W81" i="88"/>
  <c r="U81" i="88"/>
  <c r="R81" i="88"/>
  <c r="P81" i="88"/>
  <c r="O81" i="88"/>
  <c r="N81" i="88"/>
  <c r="K12" i="82"/>
  <c r="K13" i="82"/>
  <c r="K14" i="82"/>
  <c r="K15" i="82"/>
  <c r="K16" i="82"/>
  <c r="K17" i="82"/>
  <c r="K18" i="82"/>
  <c r="K19" i="82"/>
  <c r="AK79" i="82"/>
  <c r="AJ79" i="82"/>
  <c r="AI79" i="82"/>
  <c r="AH79" i="82"/>
  <c r="AG79" i="82"/>
  <c r="AF79" i="82"/>
  <c r="AE79" i="82"/>
  <c r="AD79" i="82"/>
  <c r="AC79" i="82"/>
  <c r="AB79" i="82"/>
  <c r="AA79" i="82"/>
  <c r="Z79" i="82"/>
  <c r="Y79" i="82"/>
  <c r="X79" i="82"/>
  <c r="W79" i="82"/>
  <c r="V79" i="82"/>
  <c r="U79" i="82"/>
  <c r="P79" i="82"/>
  <c r="O79" i="82"/>
  <c r="N79" i="82"/>
  <c r="AL84" i="79"/>
  <c r="AK84" i="79"/>
  <c r="AJ84" i="79"/>
  <c r="AI84" i="79"/>
  <c r="AH84" i="79"/>
  <c r="AG84" i="79"/>
  <c r="AF84" i="79"/>
  <c r="AE84" i="79"/>
  <c r="AD84" i="79"/>
  <c r="AC84" i="79"/>
  <c r="AB84" i="79"/>
  <c r="AA84" i="79"/>
  <c r="Z84" i="79"/>
  <c r="Y84" i="79"/>
  <c r="X84" i="79"/>
  <c r="W84" i="79"/>
  <c r="V84" i="79"/>
  <c r="S84" i="79"/>
  <c r="Q84" i="79"/>
  <c r="P84" i="79"/>
  <c r="O84" i="79"/>
  <c r="K93" i="88"/>
  <c r="G54" i="88"/>
  <c r="G60" i="88"/>
  <c r="G29" i="88"/>
  <c r="K29" i="88"/>
  <c r="G25" i="88"/>
  <c r="K25" i="88" s="1"/>
  <c r="G21" i="88"/>
  <c r="K21" i="88"/>
  <c r="G19" i="88"/>
  <c r="K19" i="88" s="1"/>
  <c r="G18" i="88"/>
  <c r="K18" i="88"/>
  <c r="G17" i="88"/>
  <c r="K17" i="88" s="1"/>
  <c r="G16" i="88"/>
  <c r="K16" i="88" s="1"/>
  <c r="G15" i="88"/>
  <c r="K15" i="88"/>
  <c r="G14" i="88"/>
  <c r="K14" i="88"/>
  <c r="G13" i="88"/>
  <c r="K13" i="88"/>
  <c r="G12" i="88"/>
  <c r="K12" i="88"/>
  <c r="G9" i="88"/>
  <c r="K9" i="88" s="1"/>
  <c r="G7" i="88"/>
  <c r="K7" i="88" s="1"/>
  <c r="G26" i="56"/>
  <c r="K26" i="56" s="1"/>
  <c r="G25" i="56"/>
  <c r="K25" i="56" s="1"/>
  <c r="G24" i="56"/>
  <c r="K24" i="56"/>
  <c r="G32" i="56"/>
  <c r="K32" i="56"/>
  <c r="G28" i="56"/>
  <c r="K28" i="56" s="1"/>
  <c r="G21" i="56"/>
  <c r="K21" i="56"/>
  <c r="G19" i="56"/>
  <c r="G18" i="56"/>
  <c r="G17" i="56"/>
  <c r="G16" i="56"/>
  <c r="G15" i="56"/>
  <c r="G14" i="56"/>
  <c r="G13" i="56"/>
  <c r="G12" i="56"/>
  <c r="G9" i="56"/>
  <c r="K9" i="56" s="1"/>
  <c r="G7" i="56"/>
  <c r="K7" i="56" s="1"/>
  <c r="G43" i="87"/>
  <c r="G35" i="82"/>
  <c r="K35" i="82"/>
  <c r="K38" i="87"/>
  <c r="G33" i="88" s="1"/>
  <c r="K85" i="82"/>
  <c r="G61" i="82"/>
  <c r="G29" i="82"/>
  <c r="K29" i="82"/>
  <c r="G25" i="82"/>
  <c r="K25" i="82" s="1"/>
  <c r="G21" i="82"/>
  <c r="K21" i="82"/>
  <c r="G9" i="82"/>
  <c r="K9" i="82" s="1"/>
  <c r="G7" i="82"/>
  <c r="K7" i="82" s="1"/>
  <c r="L96" i="79"/>
  <c r="G57" i="79"/>
  <c r="G63" i="79"/>
  <c r="G34" i="79"/>
  <c r="L34" i="79" s="1"/>
  <c r="G32" i="79"/>
  <c r="L32" i="79"/>
  <c r="G28" i="79"/>
  <c r="L28" i="79" s="1"/>
  <c r="G26" i="79"/>
  <c r="L26" i="79" s="1"/>
  <c r="G25" i="79"/>
  <c r="L25" i="79" s="1"/>
  <c r="G24" i="79"/>
  <c r="L24" i="79" s="1"/>
  <c r="G19" i="79"/>
  <c r="G18" i="79"/>
  <c r="G17" i="79"/>
  <c r="G16" i="79"/>
  <c r="G15" i="79"/>
  <c r="G14" i="79"/>
  <c r="G13" i="79"/>
  <c r="G12" i="79"/>
  <c r="G9" i="79"/>
  <c r="J14" i="79" s="1"/>
  <c r="J15" i="79" s="1"/>
  <c r="G7" i="79"/>
  <c r="L7" i="79" s="1"/>
  <c r="G58" i="56"/>
  <c r="G64" i="56"/>
  <c r="G11" i="79"/>
  <c r="G11" i="88"/>
  <c r="G11" i="56"/>
  <c r="K11" i="56" s="1"/>
  <c r="K36" i="87"/>
  <c r="G11" i="82"/>
  <c r="G34" i="56"/>
  <c r="K34" i="56" s="1"/>
  <c r="G31" i="88"/>
  <c r="K31" i="88" s="1"/>
  <c r="G31" i="82"/>
  <c r="K31" i="82" s="1"/>
  <c r="G23" i="79"/>
  <c r="G23" i="56"/>
  <c r="G30" i="79"/>
  <c r="L30" i="79" s="1"/>
  <c r="G27" i="88"/>
  <c r="K27" i="88" s="1"/>
  <c r="G27" i="82"/>
  <c r="K27" i="82" s="1"/>
  <c r="G30" i="56"/>
  <c r="K30" i="56" s="1"/>
  <c r="G23" i="82"/>
  <c r="K23" i="82" s="1"/>
  <c r="G38" i="79"/>
  <c r="L38" i="79"/>
  <c r="G38" i="56"/>
  <c r="K38" i="56"/>
  <c r="G23" i="88"/>
  <c r="K23" i="88"/>
  <c r="G35" i="88"/>
  <c r="K35" i="88"/>
  <c r="O11" i="87"/>
  <c r="O15" i="87"/>
  <c r="AE13" i="89"/>
  <c r="AG7" i="82"/>
  <c r="AG9" i="88"/>
  <c r="L72" i="89"/>
  <c r="M79" i="82"/>
  <c r="L21" i="79"/>
  <c r="AH3" i="79"/>
  <c r="AH15" i="79"/>
  <c r="AH19" i="79"/>
  <c r="F82" i="56"/>
  <c r="G72" i="56"/>
  <c r="G82" i="56"/>
  <c r="G87" i="56"/>
  <c r="M82" i="56"/>
  <c r="G71" i="88"/>
  <c r="M81" i="88"/>
  <c r="F79" i="82"/>
  <c r="G74" i="79"/>
  <c r="F84" i="79"/>
  <c r="N84" i="79"/>
  <c r="G84" i="79"/>
  <c r="K11" i="79" l="1"/>
  <c r="K16" i="79" s="1"/>
  <c r="L9" i="79"/>
  <c r="K14" i="79"/>
  <c r="K15" i="79" s="1"/>
  <c r="K37" i="82"/>
  <c r="G59" i="82" s="1"/>
  <c r="G63" i="82" s="1"/>
  <c r="H66" i="82" s="1"/>
  <c r="F32" i="89"/>
  <c r="E28" i="89" s="1"/>
  <c r="J32" i="89"/>
  <c r="J36" i="89" s="1"/>
  <c r="F57" i="89" s="1"/>
  <c r="F61" i="89" s="1"/>
  <c r="G64" i="89" s="1"/>
  <c r="G33" i="82"/>
  <c r="F21" i="82" s="1"/>
  <c r="I7" i="87"/>
  <c r="I34" i="87"/>
  <c r="I32" i="87"/>
  <c r="I23" i="87"/>
  <c r="G36" i="79"/>
  <c r="F11" i="79" s="1"/>
  <c r="I28" i="87"/>
  <c r="L17" i="79"/>
  <c r="K18" i="79"/>
  <c r="L11" i="79"/>
  <c r="G36" i="56"/>
  <c r="F7" i="56" s="1"/>
  <c r="I11" i="87"/>
  <c r="I21" i="87"/>
  <c r="I30" i="87"/>
  <c r="F23" i="88"/>
  <c r="F7" i="88"/>
  <c r="F21" i="88"/>
  <c r="F31" i="88"/>
  <c r="F29" i="88"/>
  <c r="F25" i="88"/>
  <c r="F9" i="88"/>
  <c r="F27" i="88"/>
  <c r="F11" i="88"/>
  <c r="K40" i="56"/>
  <c r="G62" i="56" s="1"/>
  <c r="F7" i="82"/>
  <c r="I9" i="87"/>
  <c r="F27" i="82"/>
  <c r="K37" i="88"/>
  <c r="G58" i="88" s="1"/>
  <c r="L14" i="79"/>
  <c r="F25" i="82"/>
  <c r="F9" i="82"/>
  <c r="F31" i="82"/>
  <c r="L16" i="79"/>
  <c r="F81" i="88"/>
  <c r="G72" i="88"/>
  <c r="K19" i="79" l="1"/>
  <c r="L19" i="79" s="1"/>
  <c r="J18" i="79"/>
  <c r="L40" i="79"/>
  <c r="G61" i="79" s="1"/>
  <c r="I66" i="79" s="1"/>
  <c r="E9" i="89"/>
  <c r="E15" i="89"/>
  <c r="G59" i="89"/>
  <c r="E11" i="89"/>
  <c r="E7" i="89"/>
  <c r="E13" i="89"/>
  <c r="F11" i="82"/>
  <c r="F23" i="79"/>
  <c r="F7" i="79"/>
  <c r="E30" i="89"/>
  <c r="E20" i="89"/>
  <c r="E22" i="89"/>
  <c r="H69" i="82"/>
  <c r="H75" i="82"/>
  <c r="H77" i="82"/>
  <c r="H82" i="82"/>
  <c r="H73" i="82"/>
  <c r="H81" i="82"/>
  <c r="H70" i="82"/>
  <c r="H78" i="82"/>
  <c r="H72" i="82"/>
  <c r="H76" i="82"/>
  <c r="H71" i="82"/>
  <c r="H74" i="82"/>
  <c r="F32" i="79"/>
  <c r="F30" i="79"/>
  <c r="F34" i="79"/>
  <c r="F28" i="79"/>
  <c r="F21" i="79"/>
  <c r="I67" i="79"/>
  <c r="G65" i="79"/>
  <c r="I71" i="79" s="1"/>
  <c r="I80" i="79" s="1"/>
  <c r="F9" i="79"/>
  <c r="G66" i="79"/>
  <c r="F23" i="82"/>
  <c r="F29" i="82"/>
  <c r="F9" i="56"/>
  <c r="F11" i="56"/>
  <c r="F34" i="56"/>
  <c r="F28" i="56"/>
  <c r="F30" i="56"/>
  <c r="F21" i="56"/>
  <c r="F23" i="56"/>
  <c r="F32" i="56"/>
  <c r="I38" i="87"/>
  <c r="G73" i="89"/>
  <c r="G68" i="89"/>
  <c r="G67" i="89"/>
  <c r="G74" i="89"/>
  <c r="G71" i="89"/>
  <c r="G70" i="89"/>
  <c r="G69" i="89"/>
  <c r="H63" i="88"/>
  <c r="G62" i="88"/>
  <c r="H68" i="88" s="1"/>
  <c r="G63" i="88"/>
  <c r="G64" i="88"/>
  <c r="H64" i="88"/>
  <c r="I36" i="87"/>
  <c r="F33" i="88"/>
  <c r="G66" i="56"/>
  <c r="H69" i="56" s="1"/>
  <c r="G81" i="88"/>
  <c r="G91" i="88" s="1"/>
  <c r="F33" i="82" l="1"/>
  <c r="G67" i="79"/>
  <c r="E32" i="89"/>
  <c r="F36" i="56"/>
  <c r="F36" i="79"/>
  <c r="I78" i="79"/>
  <c r="I93" i="79"/>
  <c r="I92" i="79"/>
  <c r="I86" i="79"/>
  <c r="I91" i="79"/>
  <c r="I82" i="79"/>
  <c r="I75" i="79"/>
  <c r="I79" i="79"/>
  <c r="I90" i="79"/>
  <c r="I89" i="79"/>
  <c r="I74" i="79"/>
  <c r="I77" i="79"/>
  <c r="I83" i="79"/>
  <c r="I88" i="79"/>
  <c r="I87" i="79"/>
  <c r="I76" i="79"/>
  <c r="I81" i="79"/>
  <c r="H79" i="82"/>
  <c r="H72" i="56"/>
  <c r="H81" i="56"/>
  <c r="H71" i="88"/>
  <c r="H84" i="88"/>
  <c r="H77" i="88"/>
  <c r="H85" i="88"/>
  <c r="H86" i="88"/>
  <c r="H87" i="88"/>
  <c r="H88" i="88"/>
  <c r="H79" i="88"/>
  <c r="H89" i="88"/>
  <c r="H90" i="88"/>
  <c r="H83" i="88"/>
  <c r="H74" i="88"/>
  <c r="H80" i="88"/>
  <c r="H75" i="88"/>
  <c r="H78" i="88"/>
  <c r="H76" i="88"/>
  <c r="H73" i="88"/>
  <c r="H72" i="88"/>
  <c r="H75" i="56"/>
  <c r="H80" i="56"/>
  <c r="H74" i="56"/>
  <c r="G72" i="89"/>
  <c r="H84" i="56"/>
  <c r="H85" i="56"/>
  <c r="H79" i="56"/>
  <c r="H78" i="56"/>
  <c r="H77" i="56"/>
  <c r="H76" i="56"/>
  <c r="H73" i="56"/>
  <c r="H86" i="56"/>
  <c r="I94" i="79" l="1"/>
  <c r="L94" i="79" s="1"/>
  <c r="I84" i="79"/>
  <c r="L84" i="79" s="1"/>
  <c r="L98" i="79" s="1"/>
  <c r="L100" i="79" s="1"/>
  <c r="L103" i="79" s="1"/>
  <c r="H83" i="82"/>
  <c r="K79" i="82"/>
  <c r="K87" i="82" s="1"/>
  <c r="H82" i="56"/>
  <c r="K82" i="56" s="1"/>
  <c r="G75" i="89"/>
  <c r="J75" i="89" s="1"/>
  <c r="J79" i="89" s="1"/>
  <c r="J72" i="89"/>
  <c r="K57" i="87"/>
  <c r="H81" i="88"/>
  <c r="H87" i="56" l="1"/>
  <c r="K87" i="56" s="1"/>
  <c r="K91" i="56" s="1"/>
  <c r="K93" i="56" s="1"/>
  <c r="K96" i="56" s="1"/>
  <c r="K63" i="87"/>
  <c r="K89" i="82"/>
  <c r="K92" i="82" s="1"/>
  <c r="G108" i="79"/>
  <c r="L104" i="79"/>
  <c r="L106" i="79" s="1"/>
  <c r="I57" i="87"/>
  <c r="G57" i="87"/>
  <c r="K53" i="87"/>
  <c r="H91" i="88"/>
  <c r="K91" i="88" s="1"/>
  <c r="K95" i="88" s="1"/>
  <c r="K81" i="88"/>
  <c r="J81" i="89"/>
  <c r="J84" i="89" s="1"/>
  <c r="K51" i="87"/>
  <c r="K93" i="82" l="1"/>
  <c r="K95" i="82" s="1"/>
  <c r="G97" i="82"/>
  <c r="G63" i="87"/>
  <c r="I63" i="87"/>
  <c r="J85" i="89"/>
  <c r="J87" i="89" s="1"/>
  <c r="F89" i="89"/>
  <c r="G101" i="56"/>
  <c r="K97" i="56"/>
  <c r="K99" i="56" s="1"/>
  <c r="I51" i="87"/>
  <c r="G51" i="87"/>
  <c r="K71" i="87"/>
  <c r="K76" i="87" s="1"/>
  <c r="K97" i="88"/>
  <c r="K78" i="87" s="1"/>
  <c r="G53" i="87"/>
  <c r="I53" i="87"/>
  <c r="K81" i="87" l="1"/>
  <c r="K84" i="87" s="1"/>
  <c r="K86" i="87" s="1"/>
  <c r="G71" i="87"/>
  <c r="I71" i="87"/>
  <c r="K100" i="88"/>
  <c r="I81" i="87" l="1"/>
  <c r="G105" i="88"/>
  <c r="K101" i="88"/>
  <c r="K103" i="88" s="1"/>
</calcChain>
</file>

<file path=xl/sharedStrings.xml><?xml version="1.0" encoding="utf-8"?>
<sst xmlns="http://schemas.openxmlformats.org/spreadsheetml/2006/main" count="742" uniqueCount="269">
  <si>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</si>
  <si>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</si>
  <si>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</si>
  <si>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</si>
  <si>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</si>
  <si>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</si>
  <si>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</si>
  <si>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</si>
  <si>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</si>
  <si>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</si>
  <si>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</si>
  <si>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</si>
  <si>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</si>
  <si>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</si>
  <si>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</si>
  <si>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</si>
  <si>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</si>
  <si>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</si>
  <si>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</si>
  <si>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</si>
  <si>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</si>
  <si>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</si>
  <si>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</si>
  <si>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</si>
  <si>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</si>
  <si>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</si>
  <si>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</si>
  <si>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</si>
  <si>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</si>
  <si>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</si>
  <si>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</si>
  <si>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</si>
  <si>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</si>
  <si>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</si>
  <si>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</si>
  <si>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</si>
  <si>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</si>
  <si>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</si>
  <si>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</si>
  <si>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</si>
  <si>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</si>
  <si>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</si>
  <si>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</si>
  <si>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</si>
  <si>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</si>
  <si>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</si>
  <si>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</si>
  <si>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</si>
  <si>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</si>
  <si>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</si>
  <si>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</si>
  <si>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</si>
  <si>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</si>
  <si>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</si>
  <si>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</si>
  <si>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6 bis 42</t>
  </si>
  <si>
    <t xml:space="preserve">          Mitwirkung an der Vergabe</t>
  </si>
  <si>
    <t>8 bis 42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</si>
  <si>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</si>
  <si>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</si>
  <si>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</si>
  <si>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>LPH 8 Fachbauaufsicht + Dokumentation</t>
  </si>
  <si>
    <t xml:space="preserve">%-Satz für TA </t>
  </si>
  <si>
    <t>ERK %</t>
  </si>
  <si>
    <t>Anforderungsmerkmale/Bewertungspunkte</t>
  </si>
  <si>
    <t xml:space="preserve">50% =    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</si>
  <si>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</si>
  <si>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</si>
  <si>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</si>
  <si>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</si>
  <si>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</si>
  <si>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</si>
  <si>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%-Satz für OA (Planung + ÖBA)</t>
  </si>
  <si>
    <t>Zusammenstellung der Planungsleistungen</t>
  </si>
  <si>
    <t>Kosten nach ÖNORM B1801-1</t>
  </si>
  <si>
    <t>ERK in €</t>
  </si>
  <si>
    <t>%-Anteil ERK</t>
  </si>
  <si>
    <r>
      <t xml:space="preserve">NEBENKOSTEN </t>
    </r>
    <r>
      <rPr>
        <sz val="9"/>
        <rFont val="Arial"/>
        <family val="2"/>
      </rPr>
      <t>(Bewilligungen, Anschlussgebühren, …)</t>
    </r>
  </si>
  <si>
    <t>LPH 1 Grundlagenanalyse</t>
  </si>
  <si>
    <t>LPH 5 Ausführungsplanung + Dokumentation</t>
  </si>
  <si>
    <t>LPH 6 Mitwirkung an Ausschreibung</t>
  </si>
  <si>
    <t>LPH 8 Bewehrungsabnahmen, Betonprüfung</t>
  </si>
  <si>
    <t>LPH 9 -</t>
  </si>
  <si>
    <t xml:space="preserve">LPH 7 Begleitung der Bauausführung </t>
  </si>
  <si>
    <t>%-Anteil BWK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</si>
  <si>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</si>
  <si>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Prozentanteil an Errichtungskosten (netto, inkl. NK)</t>
  </si>
  <si>
    <t>Ermittlung Bemessungsgrundlage (BMGL)</t>
  </si>
  <si>
    <t>(PL + ÖBA)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</si>
  <si>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</si>
  <si>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r>
      <t>PLANUNGSLEISTUNGEN</t>
    </r>
    <r>
      <rPr>
        <sz val="10"/>
        <color indexed="8"/>
        <rFont val="Arial"/>
        <family val="2"/>
      </rPr>
      <t xml:space="preserve"> (GP)</t>
    </r>
  </si>
  <si>
    <t>Summe Generalplaner  gesamt (GP 2b + PL + ÖBA) netto inkl. NK</t>
  </si>
  <si>
    <t xml:space="preserve">Summe Generalplaner  gesamt (GP 2b + PL + ÖBA) brutto </t>
  </si>
  <si>
    <t>Summe Teil Generalplaner Mangement ohne Nebenkosten</t>
  </si>
  <si>
    <t>Summe Teil Generalplaner Management netto inkl. NK</t>
  </si>
  <si>
    <t xml:space="preserve">Summe Teil Generalplaner Management brutto </t>
  </si>
  <si>
    <t>Summe Teil Objektplanung Architekt ohne Nebenkosten</t>
  </si>
  <si>
    <t>Summe Teil Objektplanung Architekt netto inkl. NK</t>
  </si>
  <si>
    <t>Summe Teil Objektplanung Architekt brutto</t>
  </si>
  <si>
    <t>Summe Teil Tragwerksplanung ohne Nebenkosten</t>
  </si>
  <si>
    <t>Summe Teil Tragwerksplanung netto inkl. NK</t>
  </si>
  <si>
    <t xml:space="preserve">Summe Teil Tragwerksplanung brutto </t>
  </si>
  <si>
    <t>Stundenpool (optionale Leistungen)</t>
  </si>
  <si>
    <t>Einbaumöbel</t>
  </si>
  <si>
    <t>Serienmöbel</t>
  </si>
  <si>
    <t>mitzuverarbeitende Bausubstanz</t>
  </si>
  <si>
    <t>Umbauzuschlag nach OA.11</t>
  </si>
  <si>
    <t>Umbauzuschlag nach TW.11</t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</si>
  <si>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</si>
  <si>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Umbauzuschlag nach TA.11</t>
  </si>
  <si>
    <t>Summe Teil Technische Ausrüstung ohne Nebenkosten</t>
  </si>
  <si>
    <t>Summe Teil Technische Ausrüstung netto inkl. NK</t>
  </si>
  <si>
    <t xml:space="preserve">Summe Teil Technische Ausrüstung brutto </t>
  </si>
  <si>
    <t>BAUWERKSKOSTEN</t>
  </si>
  <si>
    <t>Z</t>
  </si>
  <si>
    <t>MITZUVERARBEITENDE BAUSUBSTANZ</t>
  </si>
  <si>
    <t>BRI</t>
  </si>
  <si>
    <t>geschätzter Wert</t>
  </si>
  <si>
    <t>mvB = BRI x 50-60 €/m³</t>
  </si>
  <si>
    <t xml:space="preserve">Brandschutz </t>
  </si>
  <si>
    <t>Summe Generalplaner gesamt (GP 2b + PL + ÖBA) ohne Nebenkosten</t>
  </si>
  <si>
    <t>Anteil an ERK:</t>
  </si>
  <si>
    <t>Umbauzuschlag nach GP.11</t>
  </si>
  <si>
    <r>
      <t>%-Satz für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</si>
  <si>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</si>
  <si>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</si>
  <si>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x Umbauzuschlag</t>
    </r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</si>
  <si>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x Umbauzuschlag</t>
    </r>
  </si>
  <si>
    <t>LM.VM</t>
  </si>
  <si>
    <t>LM.VM.</t>
  </si>
  <si>
    <t xml:space="preserve">LM.VM. </t>
  </si>
  <si>
    <t>2.1. BIM-Bestandserfassung</t>
  </si>
  <si>
    <t>2.2. BIM-Baugrunderfassung</t>
  </si>
  <si>
    <t>2.5. BIM-Bemessung und Nachweisführung</t>
  </si>
  <si>
    <t>mit BIM</t>
  </si>
  <si>
    <t>PROJEKTSTATISTIK:</t>
  </si>
  <si>
    <t>Projekt:</t>
  </si>
  <si>
    <t>Adresse:</t>
  </si>
  <si>
    <t>GP:</t>
  </si>
  <si>
    <t>BGF oi</t>
  </si>
  <si>
    <t>BGF ui</t>
  </si>
  <si>
    <t>BRI oi</t>
  </si>
  <si>
    <t>BRI ui</t>
  </si>
  <si>
    <t>Musterstraße, 9999 Stadt</t>
  </si>
  <si>
    <t>nn m²</t>
  </si>
  <si>
    <t>nn m³</t>
  </si>
  <si>
    <t>Projektart:</t>
  </si>
  <si>
    <t>x -&gt;</t>
  </si>
  <si>
    <r>
      <rPr>
        <b/>
        <sz val="8"/>
        <color indexed="8"/>
        <rFont val="Arial"/>
        <family val="2"/>
      </rPr>
      <t>Generalplaner Management 2.b</t>
    </r>
    <r>
      <rPr>
        <sz val="8"/>
        <color indexed="8"/>
        <rFont val="Arial"/>
        <family val="2"/>
      </rPr>
      <t xml:space="preserve">                              nach VM.GP.2023</t>
    </r>
  </si>
  <si>
    <t>Planer TA:</t>
  </si>
  <si>
    <t>Planer TW:</t>
  </si>
  <si>
    <t>Planer OA:</t>
  </si>
  <si>
    <t>2.6. BIM-Nachweisführungen und Zertifizierungen</t>
  </si>
  <si>
    <t>2.7. BIM-Visualisierung</t>
  </si>
  <si>
    <t>2.9. BIM-unterstützte Kostenermittlung</t>
  </si>
  <si>
    <t>2.10. BIM-Bauphasensimulation</t>
  </si>
  <si>
    <t>2.11 .BIM-Raumbuch/Anlagenbuch</t>
  </si>
  <si>
    <t>2.13. LV-Erstellung mit BIM</t>
  </si>
  <si>
    <t>2.14. BIM-Ausführungsplanung</t>
  </si>
  <si>
    <t>2.17. BIM-Modelländerungen</t>
  </si>
  <si>
    <t>2.15. BIM-Werks- und Montageplanung</t>
  </si>
  <si>
    <t>2.18. BIM-unterstützte Bauüberwachung</t>
  </si>
  <si>
    <t>2.19. BIM-Mangelmanagement in der Bauabwicklung</t>
  </si>
  <si>
    <t>2.20. BIM-Baufortschrittskontrolle</t>
  </si>
  <si>
    <t>2.21. BIM-Bauabrechnung</t>
  </si>
  <si>
    <t>2.23.  BIM-As-Built-Modelle</t>
  </si>
  <si>
    <t>2.3. BIM-Planung LPH 2-4</t>
  </si>
  <si>
    <t>2.8. BIM-unterstützte Mengenermittlung</t>
  </si>
  <si>
    <t>2.12. BIM-basiertes Behördenverfahren</t>
  </si>
  <si>
    <t>2.22. BIM-Bestandsdokumentation für behördliche
         Nachweisführungen</t>
  </si>
  <si>
    <t>2.16. BIM-unterstützter Arbeits- und 
         Gesundheitsschutz</t>
  </si>
  <si>
    <t>BGK:</t>
  </si>
  <si>
    <t>2.4. BIM-Koordinierung (PL-PS A)</t>
  </si>
  <si>
    <t>2.4. BIM-Koordinierung (BGK B)</t>
  </si>
  <si>
    <t>2.4. BIM-Koordinierung (BFK C)</t>
  </si>
  <si>
    <t>2.19. BIM-Mangelmanagement in der
         Bauabwicklung</t>
  </si>
  <si>
    <t>BFK</t>
  </si>
  <si>
    <t>2.19. BIM-Mangelmanagement in der 
         Bauabwicklung</t>
  </si>
  <si>
    <r>
      <rPr>
        <b/>
        <sz val="8"/>
        <color indexed="8"/>
        <rFont val="Arial"/>
        <family val="2"/>
      </rPr>
      <t xml:space="preserve">Projektsteuerung
</t>
    </r>
    <r>
      <rPr>
        <sz val="8"/>
        <color indexed="8"/>
        <rFont val="Arial"/>
        <family val="2"/>
      </rPr>
      <t xml:space="preserve">nach </t>
    </r>
    <r>
      <rPr>
        <sz val="8"/>
        <rFont val="Arial"/>
        <family val="2"/>
      </rPr>
      <t>VM</t>
    </r>
    <r>
      <rPr>
        <sz val="8"/>
        <color indexed="8"/>
        <rFont val="Arial"/>
        <family val="2"/>
      </rPr>
      <t>.PS.2023</t>
    </r>
  </si>
  <si>
    <t>PLANUNGSLEISTUNGEN</t>
  </si>
  <si>
    <t>Projektleitung</t>
  </si>
  <si>
    <t>Projektsteuerung</t>
  </si>
  <si>
    <t>Begleitende Kontrolle</t>
  </si>
  <si>
    <t>Planungsleistungen</t>
  </si>
  <si>
    <t>NEBENKOSTEN</t>
  </si>
  <si>
    <t>mitzuverarbeitende Bausubstanz (Umbau)</t>
  </si>
  <si>
    <t>Projektsteuerung nach VM.PS 2023</t>
  </si>
  <si>
    <t>1 bis 10</t>
  </si>
  <si>
    <t>(E) Anforderungen an die Kostenvorgaben</t>
  </si>
  <si>
    <t>über 100 Mio €</t>
  </si>
  <si>
    <t>mehr als 20 Nutzer, Planungsbeteiligte</t>
  </si>
  <si>
    <t>starke terminliche Verdichtung</t>
  </si>
  <si>
    <t>mehr als 50 Ausführungsbeteiligte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</si>
  <si>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0,0188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+ 1,0219]</t>
    </r>
  </si>
  <si>
    <r>
      <t>%-Satz für PS [h</t>
    </r>
    <r>
      <rPr>
        <vertAlign val="subscript"/>
        <sz val="10"/>
        <rFont val="Arial"/>
        <family val="2"/>
      </rPr>
      <t>PS</t>
    </r>
    <r>
      <rPr>
        <sz val="10"/>
        <rFont val="Arial"/>
        <family val="2"/>
      </rPr>
      <t xml:space="preserve"> = (-0,249 x LN(BMGL) + 6,47)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</si>
  <si>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Umbauzuschlag nach PS.11</t>
  </si>
  <si>
    <r>
      <t>Vergütung VPS = BMGL x h</t>
    </r>
    <r>
      <rPr>
        <vertAlign val="subscript"/>
        <sz val="10"/>
        <rFont val="Arial"/>
        <family val="2"/>
      </rPr>
      <t>PS</t>
    </r>
    <r>
      <rPr>
        <sz val="10"/>
        <rFont val="Arial"/>
        <family val="2"/>
      </rPr>
      <t xml:space="preserve"> x Umbauzuschlag x 100 %f</t>
    </r>
    <r>
      <rPr>
        <vertAlign val="subscript"/>
        <sz val="10"/>
        <rFont val="Arial"/>
        <family val="2"/>
      </rPr>
      <t>PPH</t>
    </r>
  </si>
  <si>
    <t>PPH 1  Projektvorbereitung</t>
  </si>
  <si>
    <t>PPH 2  Planung</t>
  </si>
  <si>
    <t>PPH 3  Ausführungsvorbereitung</t>
  </si>
  <si>
    <t>PPH 4  Ausführung</t>
  </si>
  <si>
    <t>PPH 5  Projektabschluss</t>
  </si>
  <si>
    <r>
      <t>Prozentsatz der beauftragten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</t>
    </r>
  </si>
  <si>
    <r>
      <t>Prozentsatz beauftragte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)+Zusatz%punkte</t>
    </r>
  </si>
  <si>
    <t>Summe Projektsteuerung ohne Nebenkosten</t>
  </si>
  <si>
    <t>Summe Projektsteuerung netto inkl. NK</t>
  </si>
  <si>
    <t xml:space="preserve">Summe Projektsteuerung brutto </t>
  </si>
  <si>
    <t>ERRICHTUNGSKOSTEN (Ohne Planung)</t>
  </si>
  <si>
    <t>ERRICHTUNGSKOSTEN (ohne Planung)</t>
  </si>
  <si>
    <t>x</t>
  </si>
  <si>
    <t>PS:</t>
  </si>
  <si>
    <t xml:space="preserve"> </t>
  </si>
  <si>
    <r>
      <rPr>
        <b/>
        <sz val="8"/>
        <color indexed="8"/>
        <rFont val="Arial"/>
        <family val="2"/>
      </rPr>
      <t>Objektplanung Architekt</t>
    </r>
    <r>
      <rPr>
        <sz val="8"/>
        <color indexed="8"/>
        <rFont val="Arial"/>
        <family val="2"/>
      </rPr>
      <t xml:space="preserve">
nach VM.OA.2023</t>
    </r>
  </si>
  <si>
    <r>
      <rPr>
        <b/>
        <sz val="8"/>
        <color indexed="8"/>
        <rFont val="Arial"/>
        <family val="2"/>
      </rPr>
      <t>Tragwerksplanung</t>
    </r>
    <r>
      <rPr>
        <sz val="8"/>
        <color indexed="8"/>
        <rFont val="Arial"/>
        <family val="2"/>
      </rPr>
      <t xml:space="preserve">
nach VM.TW.2023</t>
    </r>
  </si>
  <si>
    <r>
      <rPr>
        <b/>
        <sz val="8"/>
        <color indexed="8"/>
        <rFont val="Arial"/>
        <family val="2"/>
      </rPr>
      <t>Technische Ausrüstung</t>
    </r>
    <r>
      <rPr>
        <sz val="8"/>
        <color indexed="8"/>
        <rFont val="Arial"/>
        <family val="2"/>
      </rPr>
      <t xml:space="preserve">
nach VM.TA.2023</t>
    </r>
  </si>
  <si>
    <t>Schule 25 Mio BK</t>
  </si>
  <si>
    <t>Zusatz für die AIA (4% - 2%)</t>
  </si>
  <si>
    <t>BAP (8 - 6 - 4%)</t>
  </si>
  <si>
    <t>Generalplaner Leitung 2.b nach VM.GP.2023 inkl. BIM</t>
  </si>
  <si>
    <t>Objektplanung Architektur nach VM.OA.2023 inkl. BIM</t>
  </si>
  <si>
    <t xml:space="preserve">BauKG nach VM.BKG.2023 </t>
  </si>
  <si>
    <t xml:space="preserve">Einrichtungsplanung-Design nach VM.ED.2023 </t>
  </si>
  <si>
    <t>Freianlagen nach VM.FA.2023</t>
  </si>
  <si>
    <t>Tragwerksplanung nach VM.TW.2023 inkl. BIM</t>
  </si>
  <si>
    <t>Thermische Bauphysik nach VM.BP.2023</t>
  </si>
  <si>
    <t>Bauphysik Schallschutz nach VM.BP.2023</t>
  </si>
  <si>
    <t>Bauphysik Raumakustik nach VM.BP.2023</t>
  </si>
  <si>
    <t>Technische Ausrüstung nach VM.TA.2023 inkl. BIM</t>
  </si>
  <si>
    <t>Musterschulgebäude</t>
  </si>
  <si>
    <t>Summe aktivierte BIM Anwendungsfälle
mit Eintrag von "x" wird die jeweilige Anwendung aktiviert und zur Berechnung addiert</t>
  </si>
  <si>
    <t>Zusatz Nachweise zur Nachhaltigkeit</t>
  </si>
  <si>
    <r>
      <t>Prozentsatz der beauftragten Leistungsphasen (f</t>
    </r>
    <r>
      <rPr>
        <vertAlign val="subscript"/>
        <sz val="9.5"/>
        <rFont val="Arial"/>
        <family val="2"/>
      </rPr>
      <t>LPH</t>
    </r>
    <r>
      <rPr>
        <sz val="9.5"/>
        <rFont val="Arial"/>
        <family val="2"/>
      </rPr>
      <t>) + Zusatz%punkte</t>
    </r>
  </si>
  <si>
    <t>Nachweise der Nachhaltigkeit</t>
  </si>
  <si>
    <t>GP-Koordination Standardraumbuch</t>
  </si>
  <si>
    <t>gering          durchschnitt.          hoch</t>
  </si>
  <si>
    <t>0 bis 5</t>
  </si>
  <si>
    <t>0 bis 3</t>
  </si>
  <si>
    <t>Summe aktivierte BIM Anwendungsfälle
mit Eintrag von "x" wird die jeweilige Anwendung 
aktiviert und zur Berechnung addiert</t>
  </si>
  <si>
    <t>gering      durchschnitt.      hoch</t>
  </si>
  <si>
    <t>0 bis 2</t>
  </si>
  <si>
    <t>wenn KGR3 &gt; 50% von KGR2 + KGR4 → Abminderung BMGL KGR3</t>
  </si>
  <si>
    <t>wenn KGR 3 &lt; 50% von KGR 2 + KGR 4 → KGR 3 fließt zu 100% in BMGL ein</t>
  </si>
  <si>
    <t>KGR 2+KGR 4 =</t>
  </si>
  <si>
    <t>0 bis 4</t>
  </si>
  <si>
    <t>Bearbeitung der Nachweise zum Zertifizierungssystem</t>
  </si>
  <si>
    <t>Bearbeitung einer vertieften Kostenschätzung</t>
  </si>
  <si>
    <t>Bearbeitung einer vertieften Kostenberechnung</t>
  </si>
  <si>
    <t>Bearbeitung von Wandabwicklungen in LPH 3</t>
  </si>
  <si>
    <t>Fortschreibung der Wandabwicklungen in LPH 5</t>
  </si>
  <si>
    <t>Bauabwicklung mit Lean Construction Management</t>
  </si>
  <si>
    <t>Bearbeitung eines Raumbuches</t>
  </si>
  <si>
    <t>Bauteilkatalog zusätzlich zum oa. Raumbuch</t>
  </si>
  <si>
    <r>
      <t>Prozentsatz beauftragter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)+Zusatz%pkt.</t>
    </r>
  </si>
  <si>
    <t>Koordinierung mit PI. (Prüfingenieur)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</si>
  <si>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</si>
  <si>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Zusatz Nachweise Nachhaltigkeit</t>
  </si>
  <si>
    <t>Zusatz vertiefte Kostenschätzung (vKS)</t>
  </si>
  <si>
    <t>Zusatz viertiefte Kostenberechnung (vKB)</t>
  </si>
  <si>
    <t>Zusatz Bearbeitung von Wandabwicklungen in LPH3</t>
  </si>
  <si>
    <t>Zusatz Fortschreibung von Wandabwicklungen in LPH5</t>
  </si>
  <si>
    <t>Zusatz Bearbeitung TGA-Teil eines Raumbuchs</t>
  </si>
  <si>
    <t>Zusatz Bauteilkatalog</t>
  </si>
  <si>
    <t>Zusatz Bauabwicklung Lean Construction Management</t>
  </si>
  <si>
    <t>Technische Ausrüstung nach VM.TA.2023</t>
  </si>
  <si>
    <t>Tragwerksplanung nach VM.TW.2023</t>
  </si>
  <si>
    <t>Objektplanung Architektur nach VM.OA.2023</t>
  </si>
  <si>
    <t>Generalplaner Management 2.b nach VM.GP.2023</t>
  </si>
  <si>
    <t>Passwort Blattschutz: LM.VM.2023</t>
  </si>
  <si>
    <t>Projektsteuerung nach VM.PS.2023 inkl.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</si>
</sst>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\ &quot;€&quot;"/>
    <numFmt numFmtId="172" formatCode="0.0%"/>
    <numFmt numFmtId="173" formatCode="#,##0\ &quot;m³&quot;"/>
    <numFmt numFmtId="174" formatCode="0.0"/>
    <numFmt numFmtId="175" formatCode="#,##0.0"/>
    <numFmt numFmtId="176" formatCode="#,##0\ &quot;h&quot;"/>
    <numFmt numFmtId="177" formatCode="#,##0.00\ &quot;€/h&quot;"/>
    <numFmt numFmtId="178" formatCode="0.0000%"/>
    <numFmt numFmtId="179" formatCode="#,##0\ &quot;€ / m³&quot;"/>
    <numFmt numFmtId="180" formatCode="_-* #,##0_-;\-* #,##0_-;_-* &quot;-&quot;??_-;_-@_-"/>
  </numFmts>
  <fonts count="8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i/>
      <sz val="7"/>
      <color indexed="8"/>
      <name val="Arial"/>
      <family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sz val="8"/>
      <color indexed="56"/>
      <name val="Arial"/>
      <family val="1"/>
      <charset val="2"/>
    </font>
    <font>
      <sz val="14"/>
      <name val="Arial"/>
      <family val="2"/>
    </font>
    <font>
      <sz val="12"/>
      <name val="Arial"/>
      <family val="2"/>
    </font>
    <font>
      <sz val="9.5"/>
      <name val="Arial"/>
      <family val="2"/>
    </font>
    <font>
      <vertAlign val="subscript"/>
      <sz val="9.5"/>
      <name val="Arial"/>
      <family val="2"/>
    </font>
    <font>
      <sz val="8"/>
      <name val="Calibri"/>
      <family val="2"/>
    </font>
    <font>
      <sz val="8.5"/>
      <color indexed="8"/>
      <name val="Arial"/>
      <family val="2"/>
    </font>
    <font>
      <sz val="14"/>
      <color indexed="8"/>
      <name val="Wingdings 3"/>
      <family val="1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9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10"/>
      <color theme="0" tint="-4.9989318521683403E-2"/>
      <name val="Arial"/>
      <family val="2"/>
    </font>
    <font>
      <sz val="8"/>
      <color theme="3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11"/>
      <color rgb="FF00B050"/>
      <name val="Arial"/>
      <family val="2"/>
    </font>
    <font>
      <sz val="10"/>
      <color theme="0" tint="-0.24994659260841701"/>
      <name val="Arial"/>
      <family val="2"/>
    </font>
    <font>
      <sz val="8"/>
      <color rgb="FFFF0000"/>
      <name val="Arial"/>
      <family val="2"/>
    </font>
    <font>
      <b/>
      <sz val="12"/>
      <color theme="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</borders>
  <cellStyleXfs count="48">
    <xf numFmtId="0" fontId="0" fillId="0" borderId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18" applyNumberFormat="0" applyAlignment="0" applyProtection="0"/>
    <xf numFmtId="0" fontId="42" fillId="8" borderId="19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3" fillId="9" borderId="19" applyNumberFormat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46" fillId="11" borderId="0" applyNumberFormat="0" applyBorder="0" applyAlignment="0" applyProtection="0"/>
    <xf numFmtId="43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7" fillId="12" borderId="0" applyNumberFormat="0" applyBorder="0" applyAlignment="0" applyProtection="0"/>
    <xf numFmtId="0" fontId="39" fillId="13" borderId="21" applyNumberFormat="0" applyFont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14" borderId="0" applyNumberFormat="0" applyBorder="0" applyAlignment="0" applyProtection="0"/>
    <xf numFmtId="0" fontId="39" fillId="0" borderId="0"/>
    <xf numFmtId="0" fontId="2" fillId="0" borderId="0"/>
    <xf numFmtId="0" fontId="4" fillId="0" borderId="0"/>
    <xf numFmtId="0" fontId="39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7" fillId="0" borderId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4" fillId="0" borderId="0" applyNumberFormat="0" applyFill="0" applyBorder="0" applyAlignment="0" applyProtection="0"/>
    <xf numFmtId="0" fontId="55" fillId="15" borderId="26" applyNumberFormat="0" applyAlignment="0" applyProtection="0"/>
  </cellStyleXfs>
  <cellXfs count="504">
    <xf numFmtId="0" fontId="0" fillId="0" borderId="0" xfId="0"/>
    <xf numFmtId="0" fontId="5" fillId="0" borderId="0" xfId="39" applyFont="1"/>
    <xf numFmtId="0" fontId="6" fillId="0" borderId="0" xfId="39" applyFont="1" applyAlignment="1">
      <alignment vertical="center"/>
    </xf>
    <xf numFmtId="3" fontId="5" fillId="0" borderId="0" xfId="39" applyNumberFormat="1" applyFont="1" applyAlignment="1">
      <alignment vertical="center"/>
    </xf>
    <xf numFmtId="1" fontId="5" fillId="0" borderId="0" xfId="39" applyNumberFormat="1" applyFont="1" applyAlignment="1">
      <alignment horizontal="left"/>
    </xf>
    <xf numFmtId="164" fontId="5" fillId="0" borderId="0" xfId="39" applyNumberFormat="1" applyFont="1" applyAlignment="1">
      <alignment horizontal="left"/>
    </xf>
    <xf numFmtId="165" fontId="5" fillId="0" borderId="0" xfId="39" applyNumberFormat="1" applyFont="1" applyAlignment="1">
      <alignment horizontal="left"/>
    </xf>
    <xf numFmtId="0" fontId="6" fillId="0" borderId="0" xfId="39" applyFont="1" applyAlignment="1">
      <alignment horizontal="left"/>
    </xf>
    <xf numFmtId="10" fontId="5" fillId="0" borderId="0" xfId="39" applyNumberFormat="1" applyFont="1" applyAlignment="1">
      <alignment horizontal="right"/>
    </xf>
    <xf numFmtId="3" fontId="5" fillId="0" borderId="0" xfId="39" applyNumberFormat="1" applyFont="1" applyAlignment="1">
      <alignment horizontal="right"/>
    </xf>
    <xf numFmtId="0" fontId="14" fillId="0" borderId="0" xfId="39" applyFont="1" applyAlignment="1">
      <alignment vertical="center"/>
    </xf>
    <xf numFmtId="0" fontId="15" fillId="0" borderId="0" xfId="39" applyFont="1" applyAlignment="1">
      <alignment vertical="center"/>
    </xf>
    <xf numFmtId="10" fontId="15" fillId="0" borderId="0" xfId="39" applyNumberFormat="1" applyFont="1" applyAlignment="1">
      <alignment horizontal="center" vertical="center"/>
    </xf>
    <xf numFmtId="1" fontId="5" fillId="0" borderId="0" xfId="39" applyNumberFormat="1" applyFont="1" applyAlignment="1">
      <alignment horizontal="center"/>
    </xf>
    <xf numFmtId="0" fontId="16" fillId="0" borderId="0" xfId="39" applyFont="1"/>
    <xf numFmtId="0" fontId="6" fillId="0" borderId="0" xfId="39" applyFont="1" applyAlignment="1">
      <alignment horizontal="center"/>
    </xf>
    <xf numFmtId="0" fontId="5" fillId="0" borderId="0" xfId="39" applyFont="1" applyAlignment="1">
      <alignment vertical="top"/>
    </xf>
    <xf numFmtId="0" fontId="6" fillId="0" borderId="0" xfId="39" applyFont="1" applyAlignment="1">
      <alignment vertical="top"/>
    </xf>
    <xf numFmtId="0" fontId="2" fillId="0" borderId="0" xfId="35" applyAlignment="1">
      <alignment vertical="center"/>
    </xf>
    <xf numFmtId="0" fontId="2" fillId="0" borderId="2" xfId="35" applyBorder="1" applyAlignment="1">
      <alignment vertical="center"/>
    </xf>
    <xf numFmtId="0" fontId="2" fillId="0" borderId="3" xfId="35" applyBorder="1" applyAlignment="1">
      <alignment vertical="center"/>
    </xf>
    <xf numFmtId="0" fontId="2" fillId="0" borderId="2" xfId="35" applyBorder="1"/>
    <xf numFmtId="3" fontId="6" fillId="0" borderId="0" xfId="39" applyNumberFormat="1" applyFont="1" applyAlignment="1" applyProtection="1">
      <alignment vertical="top" wrapText="1"/>
      <protection locked="0"/>
    </xf>
    <xf numFmtId="3" fontId="5" fillId="0" borderId="0" xfId="39" applyNumberFormat="1" applyFont="1"/>
    <xf numFmtId="0" fontId="2" fillId="0" borderId="0" xfId="35"/>
    <xf numFmtId="0" fontId="2" fillId="0" borderId="0" xfId="35" applyAlignment="1">
      <alignment horizontal="right"/>
    </xf>
    <xf numFmtId="166" fontId="2" fillId="0" borderId="0" xfId="35" applyNumberFormat="1"/>
    <xf numFmtId="167" fontId="7" fillId="0" borderId="0" xfId="35" applyNumberFormat="1" applyFont="1"/>
    <xf numFmtId="10" fontId="2" fillId="0" borderId="0" xfId="35" applyNumberFormat="1" applyAlignment="1">
      <alignment horizontal="right"/>
    </xf>
    <xf numFmtId="169" fontId="2" fillId="0" borderId="0" xfId="35" applyNumberFormat="1" applyAlignment="1">
      <alignment vertical="center"/>
    </xf>
    <xf numFmtId="168" fontId="10" fillId="0" borderId="0" xfId="35" applyNumberFormat="1" applyFont="1" applyAlignment="1">
      <alignment vertical="center"/>
    </xf>
    <xf numFmtId="0" fontId="56" fillId="0" borderId="0" xfId="0" applyFont="1" applyAlignment="1">
      <alignment horizontal="justify" vertical="center"/>
    </xf>
    <xf numFmtId="3" fontId="15" fillId="0" borderId="0" xfId="39" applyNumberFormat="1" applyFont="1" applyAlignment="1">
      <alignment horizontal="center" vertical="center"/>
    </xf>
    <xf numFmtId="10" fontId="5" fillId="0" borderId="0" xfId="39" applyNumberFormat="1" applyFont="1"/>
    <xf numFmtId="0" fontId="9" fillId="0" borderId="0" xfId="39" applyFont="1"/>
    <xf numFmtId="3" fontId="10" fillId="0" borderId="0" xfId="39" applyNumberFormat="1" applyFont="1" applyProtection="1">
      <protection locked="0"/>
    </xf>
    <xf numFmtId="3" fontId="9" fillId="0" borderId="0" xfId="39" applyNumberFormat="1" applyFont="1"/>
    <xf numFmtId="0" fontId="5" fillId="0" borderId="2" xfId="39" applyFont="1" applyBorder="1"/>
    <xf numFmtId="0" fontId="5" fillId="0" borderId="3" xfId="39" applyFont="1" applyBorder="1"/>
    <xf numFmtId="0" fontId="5" fillId="0" borderId="0" xfId="39" applyFont="1" applyAlignment="1">
      <alignment horizontal="left"/>
    </xf>
    <xf numFmtId="3" fontId="5" fillId="0" borderId="0" xfId="39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3" applyFont="1" applyFill="1" applyBorder="1" applyAlignment="1">
      <alignment horizontal="center" vertical="center"/>
    </xf>
    <xf numFmtId="0" fontId="6" fillId="0" borderId="2" xfId="39" applyFont="1" applyBorder="1" applyAlignment="1">
      <alignment horizontal="left"/>
    </xf>
    <xf numFmtId="0" fontId="6" fillId="0" borderId="3" xfId="39" applyFont="1" applyBorder="1" applyAlignment="1">
      <alignment horizontal="left"/>
    </xf>
    <xf numFmtId="10" fontId="17" fillId="0" borderId="0" xfId="39" applyNumberFormat="1" applyFont="1" applyAlignment="1">
      <alignment horizontal="left" wrapText="1"/>
    </xf>
    <xf numFmtId="3" fontId="9" fillId="0" borderId="0" xfId="39" applyNumberFormat="1" applyFont="1" applyAlignment="1">
      <alignment horizontal="right"/>
    </xf>
    <xf numFmtId="3" fontId="16" fillId="0" borderId="0" xfId="39" applyNumberFormat="1" applyFont="1" applyAlignment="1">
      <alignment horizontal="right"/>
    </xf>
    <xf numFmtId="10" fontId="5" fillId="0" borderId="2" xfId="39" applyNumberFormat="1" applyFont="1" applyBorder="1" applyAlignment="1">
      <alignment horizontal="right"/>
    </xf>
    <xf numFmtId="168" fontId="2" fillId="0" borderId="0" xfId="35" applyNumberFormat="1"/>
    <xf numFmtId="168" fontId="7" fillId="0" borderId="0" xfId="35" applyNumberFormat="1" applyFont="1"/>
    <xf numFmtId="9" fontId="2" fillId="0" borderId="0" xfId="35" applyNumberFormat="1" applyAlignment="1">
      <alignment horizontal="center"/>
    </xf>
    <xf numFmtId="166" fontId="2" fillId="0" borderId="0" xfId="35" applyNumberFormat="1" applyAlignment="1">
      <alignment horizontal="left"/>
    </xf>
    <xf numFmtId="0" fontId="2" fillId="0" borderId="4" xfId="35" applyBorder="1"/>
    <xf numFmtId="0" fontId="2" fillId="0" borderId="4" xfId="35" applyBorder="1" applyAlignment="1">
      <alignment horizontal="right"/>
    </xf>
    <xf numFmtId="166" fontId="2" fillId="0" borderId="4" xfId="35" applyNumberFormat="1" applyBorder="1"/>
    <xf numFmtId="0" fontId="1" fillId="0" borderId="0" xfId="35" applyFont="1"/>
    <xf numFmtId="0" fontId="1" fillId="0" borderId="0" xfId="35" applyFont="1" applyAlignment="1">
      <alignment horizontal="right"/>
    </xf>
    <xf numFmtId="166" fontId="1" fillId="0" borderId="0" xfId="35" applyNumberFormat="1" applyFont="1"/>
    <xf numFmtId="167" fontId="7" fillId="0" borderId="4" xfId="35" applyNumberFormat="1" applyFont="1" applyBorder="1"/>
    <xf numFmtId="167" fontId="7" fillId="0" borderId="5" xfId="35" applyNumberFormat="1" applyFont="1" applyBorder="1"/>
    <xf numFmtId="0" fontId="2" fillId="0" borderId="5" xfId="35" applyBorder="1"/>
    <xf numFmtId="0" fontId="11" fillId="0" borderId="0" xfId="35" applyFont="1"/>
    <xf numFmtId="0" fontId="11" fillId="0" borderId="0" xfId="35" applyFont="1" applyAlignment="1">
      <alignment horizontal="right"/>
    </xf>
    <xf numFmtId="166" fontId="11" fillId="0" borderId="0" xfId="35" applyNumberFormat="1" applyFont="1"/>
    <xf numFmtId="0" fontId="19" fillId="16" borderId="0" xfId="39" applyFont="1" applyFill="1"/>
    <xf numFmtId="0" fontId="19" fillId="0" borderId="0" xfId="39" applyFont="1"/>
    <xf numFmtId="9" fontId="2" fillId="0" borderId="4" xfId="35" applyNumberFormat="1" applyBorder="1" applyAlignment="1">
      <alignment horizontal="center"/>
    </xf>
    <xf numFmtId="9" fontId="2" fillId="0" borderId="5" xfId="35" applyNumberFormat="1" applyBorder="1" applyAlignment="1">
      <alignment horizontal="center"/>
    </xf>
    <xf numFmtId="0" fontId="1" fillId="16" borderId="0" xfId="39" applyFont="1" applyFill="1" applyAlignment="1">
      <alignment horizontal="left"/>
    </xf>
    <xf numFmtId="3" fontId="14" fillId="0" borderId="0" xfId="39" applyNumberFormat="1" applyFont="1" applyAlignment="1">
      <alignment vertical="center"/>
    </xf>
    <xf numFmtId="9" fontId="5" fillId="0" borderId="0" xfId="39" applyNumberFormat="1" applyFont="1" applyAlignment="1">
      <alignment horizontal="right"/>
    </xf>
    <xf numFmtId="10" fontId="15" fillId="0" borderId="0" xfId="39" applyNumberFormat="1" applyFont="1" applyAlignment="1">
      <alignment horizontal="right" vertical="center"/>
    </xf>
    <xf numFmtId="9" fontId="5" fillId="0" borderId="0" xfId="39" applyNumberFormat="1" applyFont="1" applyAlignment="1">
      <alignment horizontal="right" vertical="center"/>
    </xf>
    <xf numFmtId="9" fontId="1" fillId="16" borderId="0" xfId="39" applyNumberFormat="1" applyFont="1" applyFill="1"/>
    <xf numFmtId="0" fontId="6" fillId="0" borderId="27" xfId="39" applyFont="1" applyBorder="1" applyAlignment="1">
      <alignment vertical="center"/>
    </xf>
    <xf numFmtId="0" fontId="14" fillId="0" borderId="2" xfId="39" applyFont="1" applyBorder="1" applyAlignment="1">
      <alignment vertical="center"/>
    </xf>
    <xf numFmtId="0" fontId="6" fillId="0" borderId="2" xfId="39" applyFont="1" applyBorder="1" applyAlignment="1">
      <alignment vertical="center"/>
    </xf>
    <xf numFmtId="1" fontId="10" fillId="16" borderId="27" xfId="39" applyNumberFormat="1" applyFont="1" applyFill="1" applyBorder="1" applyAlignment="1">
      <alignment horizontal="left" vertical="center"/>
    </xf>
    <xf numFmtId="164" fontId="10" fillId="16" borderId="27" xfId="39" applyNumberFormat="1" applyFont="1" applyFill="1" applyBorder="1" applyAlignment="1">
      <alignment horizontal="left" vertical="center"/>
    </xf>
    <xf numFmtId="0" fontId="10" fillId="16" borderId="27" xfId="39" applyFont="1" applyFill="1" applyBorder="1" applyAlignment="1">
      <alignment vertical="center"/>
    </xf>
    <xf numFmtId="9" fontId="5" fillId="0" borderId="27" xfId="39" applyNumberFormat="1" applyFont="1" applyBorder="1" applyAlignment="1">
      <alignment horizontal="right" vertical="center"/>
    </xf>
    <xf numFmtId="1" fontId="5" fillId="0" borderId="28" xfId="39" applyNumberFormat="1" applyFont="1" applyBorder="1" applyAlignment="1">
      <alignment horizontal="left"/>
    </xf>
    <xf numFmtId="164" fontId="5" fillId="0" borderId="28" xfId="39" applyNumberFormat="1" applyFont="1" applyBorder="1" applyAlignment="1">
      <alignment horizontal="left"/>
    </xf>
    <xf numFmtId="0" fontId="5" fillId="0" borderId="28" xfId="39" applyFont="1" applyBorder="1"/>
    <xf numFmtId="9" fontId="5" fillId="0" borderId="28" xfId="39" applyNumberFormat="1" applyFont="1" applyBorder="1" applyAlignment="1">
      <alignment horizontal="right"/>
    </xf>
    <xf numFmtId="1" fontId="5" fillId="0" borderId="29" xfId="39" applyNumberFormat="1" applyFont="1" applyBorder="1" applyAlignment="1">
      <alignment horizontal="left"/>
    </xf>
    <xf numFmtId="164" fontId="5" fillId="0" borderId="29" xfId="39" applyNumberFormat="1" applyFont="1" applyBorder="1" applyAlignment="1">
      <alignment horizontal="left"/>
    </xf>
    <xf numFmtId="0" fontId="5" fillId="0" borderId="29" xfId="39" applyFont="1" applyBorder="1"/>
    <xf numFmtId="9" fontId="5" fillId="0" borderId="29" xfId="39" applyNumberFormat="1" applyFont="1" applyBorder="1" applyAlignment="1">
      <alignment horizontal="right"/>
    </xf>
    <xf numFmtId="165" fontId="5" fillId="0" borderId="28" xfId="39" applyNumberFormat="1" applyFont="1" applyBorder="1" applyAlignment="1">
      <alignment horizontal="left"/>
    </xf>
    <xf numFmtId="0" fontId="5" fillId="0" borderId="29" xfId="39" applyFont="1" applyBorder="1" applyAlignment="1">
      <alignment horizontal="left"/>
    </xf>
    <xf numFmtId="9" fontId="5" fillId="0" borderId="30" xfId="39" applyNumberFormat="1" applyFont="1" applyBorder="1" applyAlignment="1">
      <alignment horizontal="right"/>
    </xf>
    <xf numFmtId="3" fontId="15" fillId="0" borderId="0" xfId="39" applyNumberFormat="1" applyFont="1" applyAlignment="1">
      <alignment horizontal="right" vertical="center"/>
    </xf>
    <xf numFmtId="42" fontId="1" fillId="16" borderId="0" xfId="39" applyNumberFormat="1" applyFont="1" applyFill="1" applyAlignment="1">
      <alignment horizontal="right"/>
    </xf>
    <xf numFmtId="42" fontId="2" fillId="0" borderId="0" xfId="35" applyNumberFormat="1"/>
    <xf numFmtId="42" fontId="1" fillId="0" borderId="0" xfId="35" applyNumberFormat="1" applyFont="1"/>
    <xf numFmtId="42" fontId="2" fillId="0" borderId="4" xfId="35" applyNumberFormat="1" applyBorder="1"/>
    <xf numFmtId="0" fontId="1" fillId="16" borderId="0" xfId="35" applyFont="1" applyFill="1"/>
    <xf numFmtId="0" fontId="1" fillId="16" borderId="0" xfId="35" applyFont="1" applyFill="1" applyAlignment="1">
      <alignment horizontal="right"/>
    </xf>
    <xf numFmtId="166" fontId="1" fillId="16" borderId="0" xfId="35" applyNumberFormat="1" applyFont="1" applyFill="1"/>
    <xf numFmtId="0" fontId="2" fillId="16" borderId="0" xfId="35" applyFill="1"/>
    <xf numFmtId="168" fontId="20" fillId="16" borderId="0" xfId="35" applyNumberFormat="1" applyFont="1" applyFill="1"/>
    <xf numFmtId="42" fontId="1" fillId="16" borderId="0" xfId="35" applyNumberFormat="1" applyFont="1" applyFill="1"/>
    <xf numFmtId="4" fontId="2" fillId="16" borderId="0" xfId="35" applyNumberFormat="1" applyFill="1" applyAlignment="1">
      <alignment vertical="center"/>
    </xf>
    <xf numFmtId="171" fontId="1" fillId="0" borderId="0" xfId="39" applyNumberFormat="1" applyFont="1" applyAlignment="1">
      <alignment horizontal="right"/>
    </xf>
    <xf numFmtId="4" fontId="2" fillId="0" borderId="0" xfId="35" applyNumberFormat="1" applyAlignment="1">
      <alignment vertical="center"/>
    </xf>
    <xf numFmtId="0" fontId="22" fillId="0" borderId="27" xfId="39" applyFont="1" applyBorder="1" applyAlignment="1">
      <alignment vertical="center"/>
    </xf>
    <xf numFmtId="9" fontId="5" fillId="17" borderId="31" xfId="39" applyNumberFormat="1" applyFont="1" applyFill="1" applyBorder="1" applyAlignment="1" applyProtection="1">
      <alignment horizontal="right"/>
      <protection locked="0"/>
    </xf>
    <xf numFmtId="9" fontId="5" fillId="17" borderId="30" xfId="39" applyNumberFormat="1" applyFont="1" applyFill="1" applyBorder="1" applyAlignment="1" applyProtection="1">
      <alignment horizontal="right"/>
      <protection locked="0"/>
    </xf>
    <xf numFmtId="9" fontId="6" fillId="0" borderId="30" xfId="39" applyNumberFormat="1" applyFont="1" applyBorder="1" applyAlignment="1">
      <alignment horizontal="right"/>
    </xf>
    <xf numFmtId="0" fontId="10" fillId="0" borderId="0" xfId="39" applyFont="1" applyAlignment="1">
      <alignment horizontal="left"/>
    </xf>
    <xf numFmtId="0" fontId="5" fillId="0" borderId="0" xfId="39" applyFont="1" applyAlignment="1">
      <alignment horizontal="right"/>
    </xf>
    <xf numFmtId="9" fontId="5" fillId="0" borderId="0" xfId="39" applyNumberFormat="1" applyFont="1"/>
    <xf numFmtId="9" fontId="2" fillId="16" borderId="0" xfId="35" applyNumberFormat="1" applyFill="1"/>
    <xf numFmtId="0" fontId="5" fillId="0" borderId="0" xfId="39" applyFont="1" applyAlignment="1">
      <alignment vertical="center"/>
    </xf>
    <xf numFmtId="0" fontId="16" fillId="0" borderId="0" xfId="39" applyFont="1" applyAlignment="1">
      <alignment vertical="center"/>
    </xf>
    <xf numFmtId="0" fontId="1" fillId="16" borderId="0" xfId="39" applyFont="1" applyFill="1" applyAlignment="1">
      <alignment horizontal="left" vertical="center"/>
    </xf>
    <xf numFmtId="0" fontId="19" fillId="16" borderId="0" xfId="39" applyFont="1" applyFill="1" applyAlignment="1">
      <alignment vertical="center"/>
    </xf>
    <xf numFmtId="3" fontId="16" fillId="0" borderId="0" xfId="39" applyNumberFormat="1" applyFont="1" applyAlignment="1">
      <alignment horizontal="right" vertical="center"/>
    </xf>
    <xf numFmtId="9" fontId="1" fillId="16" borderId="0" xfId="39" applyNumberFormat="1" applyFont="1" applyFill="1" applyAlignment="1">
      <alignment vertical="center"/>
    </xf>
    <xf numFmtId="0" fontId="19" fillId="0" borderId="0" xfId="39" applyFont="1" applyAlignment="1">
      <alignment vertical="center"/>
    </xf>
    <xf numFmtId="0" fontId="57" fillId="0" borderId="0" xfId="39" applyFont="1"/>
    <xf numFmtId="0" fontId="24" fillId="0" borderId="0" xfId="39" applyFont="1" applyAlignment="1">
      <alignment vertical="center"/>
    </xf>
    <xf numFmtId="42" fontId="9" fillId="0" borderId="0" xfId="39" applyNumberFormat="1" applyFont="1"/>
    <xf numFmtId="42" fontId="9" fillId="0" borderId="0" xfId="39" applyNumberFormat="1" applyFont="1" applyAlignment="1">
      <alignment horizontal="right"/>
    </xf>
    <xf numFmtId="42" fontId="5" fillId="0" borderId="0" xfId="39" applyNumberFormat="1" applyFont="1" applyAlignment="1">
      <alignment horizontal="right"/>
    </xf>
    <xf numFmtId="1" fontId="9" fillId="0" borderId="27" xfId="39" applyNumberFormat="1" applyFont="1" applyBorder="1" applyAlignment="1">
      <alignment horizontal="left" vertical="center"/>
    </xf>
    <xf numFmtId="164" fontId="9" fillId="0" borderId="27" xfId="39" applyNumberFormat="1" applyFont="1" applyBorder="1" applyAlignment="1">
      <alignment horizontal="left" vertical="center"/>
    </xf>
    <xf numFmtId="0" fontId="9" fillId="0" borderId="27" xfId="39" applyFont="1" applyBorder="1" applyAlignment="1">
      <alignment vertical="center"/>
    </xf>
    <xf numFmtId="42" fontId="9" fillId="0" borderId="27" xfId="39" applyNumberFormat="1" applyFont="1" applyBorder="1"/>
    <xf numFmtId="3" fontId="15" fillId="0" borderId="6" xfId="39" applyNumberFormat="1" applyFont="1" applyBorder="1" applyAlignment="1">
      <alignment vertical="center"/>
    </xf>
    <xf numFmtId="3" fontId="15" fillId="0" borderId="0" xfId="39" applyNumberFormat="1" applyFont="1" applyAlignment="1">
      <alignment vertical="center"/>
    </xf>
    <xf numFmtId="172" fontId="2" fillId="0" borderId="0" xfId="35" applyNumberFormat="1" applyAlignment="1">
      <alignment horizontal="right"/>
    </xf>
    <xf numFmtId="174" fontId="14" fillId="0" borderId="0" xfId="39" applyNumberFormat="1" applyFont="1" applyAlignment="1">
      <alignment vertical="center"/>
    </xf>
    <xf numFmtId="172" fontId="2" fillId="0" borderId="4" xfId="35" applyNumberFormat="1" applyBorder="1" applyAlignment="1">
      <alignment horizontal="center"/>
    </xf>
    <xf numFmtId="172" fontId="2" fillId="0" borderId="5" xfId="35" applyNumberFormat="1" applyBorder="1" applyAlignment="1">
      <alignment horizontal="center"/>
    </xf>
    <xf numFmtId="0" fontId="2" fillId="16" borderId="0" xfId="35" applyFill="1" applyAlignment="1">
      <alignment horizontal="right"/>
    </xf>
    <xf numFmtId="174" fontId="9" fillId="0" borderId="0" xfId="39" applyNumberFormat="1" applyFont="1" applyAlignment="1">
      <alignment horizontal="right" vertical="center"/>
    </xf>
    <xf numFmtId="172" fontId="2" fillId="0" borderId="0" xfId="35" applyNumberFormat="1" applyAlignment="1">
      <alignment horizontal="center"/>
    </xf>
    <xf numFmtId="172" fontId="5" fillId="0" borderId="27" xfId="39" applyNumberFormat="1" applyFont="1" applyBorder="1" applyAlignment="1">
      <alignment horizontal="right" vertical="center"/>
    </xf>
    <xf numFmtId="172" fontId="5" fillId="0" borderId="0" xfId="39" applyNumberFormat="1" applyFont="1" applyAlignment="1">
      <alignment horizontal="right"/>
    </xf>
    <xf numFmtId="172" fontId="5" fillId="0" borderId="28" xfId="39" applyNumberFormat="1" applyFont="1" applyBorder="1" applyAlignment="1">
      <alignment horizontal="right"/>
    </xf>
    <xf numFmtId="172" fontId="5" fillId="0" borderId="29" xfId="39" applyNumberFormat="1" applyFont="1" applyBorder="1" applyAlignment="1">
      <alignment horizontal="right"/>
    </xf>
    <xf numFmtId="172" fontId="5" fillId="0" borderId="0" xfId="39" applyNumberFormat="1" applyFont="1" applyAlignment="1">
      <alignment horizontal="right" vertical="center"/>
    </xf>
    <xf numFmtId="172" fontId="1" fillId="16" borderId="0" xfId="39" applyNumberFormat="1" applyFont="1" applyFill="1"/>
    <xf numFmtId="10" fontId="17" fillId="0" borderId="0" xfId="39" applyNumberFormat="1" applyFont="1" applyAlignment="1">
      <alignment horizontal="right" vertical="center"/>
    </xf>
    <xf numFmtId="3" fontId="17" fillId="0" borderId="0" xfId="39" applyNumberFormat="1" applyFont="1" applyAlignment="1">
      <alignment horizontal="center" vertical="center"/>
    </xf>
    <xf numFmtId="167" fontId="58" fillId="0" borderId="0" xfId="35" applyNumberFormat="1" applyFont="1"/>
    <xf numFmtId="42" fontId="1" fillId="16" borderId="0" xfId="35" applyNumberFormat="1" applyFont="1" applyFill="1" applyAlignment="1">
      <alignment horizontal="right"/>
    </xf>
    <xf numFmtId="42" fontId="2" fillId="0" borderId="0" xfId="35" applyNumberFormat="1" applyAlignment="1">
      <alignment horizontal="right"/>
    </xf>
    <xf numFmtId="42" fontId="1" fillId="0" borderId="0" xfId="35" applyNumberFormat="1" applyFont="1" applyAlignment="1">
      <alignment horizontal="right"/>
    </xf>
    <xf numFmtId="42" fontId="2" fillId="0" borderId="4" xfId="35" applyNumberFormat="1" applyBorder="1" applyAlignment="1">
      <alignment horizontal="right"/>
    </xf>
    <xf numFmtId="42" fontId="9" fillId="10" borderId="30" xfId="39" applyNumberFormat="1" applyFont="1" applyFill="1" applyBorder="1"/>
    <xf numFmtId="42" fontId="9" fillId="10" borderId="32" xfId="39" applyNumberFormat="1" applyFont="1" applyFill="1" applyBorder="1"/>
    <xf numFmtId="42" fontId="9" fillId="10" borderId="33" xfId="39" applyNumberFormat="1" applyFont="1" applyFill="1" applyBorder="1"/>
    <xf numFmtId="42" fontId="9" fillId="16" borderId="27" xfId="39" applyNumberFormat="1" applyFont="1" applyFill="1" applyBorder="1"/>
    <xf numFmtId="42" fontId="9" fillId="16" borderId="0" xfId="39" applyNumberFormat="1" applyFont="1" applyFill="1"/>
    <xf numFmtId="42" fontId="9" fillId="16" borderId="31" xfId="39" applyNumberFormat="1" applyFont="1" applyFill="1" applyBorder="1"/>
    <xf numFmtId="42" fontId="9" fillId="17" borderId="31" xfId="39" applyNumberFormat="1" applyFont="1" applyFill="1" applyBorder="1" applyAlignment="1" applyProtection="1">
      <alignment vertical="center"/>
      <protection locked="0"/>
    </xf>
    <xf numFmtId="42" fontId="9" fillId="0" borderId="30" xfId="39" applyNumberFormat="1" applyFont="1" applyBorder="1"/>
    <xf numFmtId="42" fontId="9" fillId="17" borderId="30" xfId="39" applyNumberFormat="1" applyFont="1" applyFill="1" applyBorder="1" applyAlignment="1" applyProtection="1">
      <alignment vertical="center"/>
      <protection locked="0"/>
    </xf>
    <xf numFmtId="42" fontId="9" fillId="16" borderId="30" xfId="39" applyNumberFormat="1" applyFont="1" applyFill="1" applyBorder="1" applyAlignment="1">
      <alignment vertical="center"/>
    </xf>
    <xf numFmtId="174" fontId="17" fillId="0" borderId="0" xfId="39" applyNumberFormat="1" applyFont="1" applyAlignment="1">
      <alignment horizontal="right" vertical="center"/>
    </xf>
    <xf numFmtId="3" fontId="15" fillId="0" borderId="0" xfId="39" applyNumberFormat="1" applyFont="1" applyAlignment="1" applyProtection="1">
      <alignment horizontal="center" vertical="center"/>
      <protection locked="0"/>
    </xf>
    <xf numFmtId="3" fontId="10" fillId="0" borderId="0" xfId="39" applyNumberFormat="1" applyFont="1"/>
    <xf numFmtId="10" fontId="9" fillId="0" borderId="27" xfId="26" applyNumberFormat="1" applyFont="1" applyFill="1" applyBorder="1" applyAlignment="1" applyProtection="1">
      <alignment vertical="center"/>
    </xf>
    <xf numFmtId="10" fontId="9" fillId="0" borderId="0" xfId="26" applyNumberFormat="1" applyFont="1" applyFill="1" applyBorder="1" applyAlignment="1" applyProtection="1">
      <alignment vertical="center"/>
    </xf>
    <xf numFmtId="42" fontId="0" fillId="0" borderId="0" xfId="0" applyNumberFormat="1"/>
    <xf numFmtId="9" fontId="5" fillId="0" borderId="0" xfId="39" applyNumberFormat="1" applyFont="1" applyAlignment="1">
      <alignment horizontal="center" vertical="center"/>
    </xf>
    <xf numFmtId="3" fontId="6" fillId="0" borderId="0" xfId="39" applyNumberFormat="1" applyFont="1" applyAlignment="1">
      <alignment vertical="top" wrapText="1"/>
    </xf>
    <xf numFmtId="0" fontId="1" fillId="16" borderId="4" xfId="36" applyFont="1" applyFill="1" applyBorder="1" applyAlignment="1">
      <alignment vertical="center"/>
    </xf>
    <xf numFmtId="0" fontId="2" fillId="16" borderId="4" xfId="36" applyFill="1" applyBorder="1" applyAlignment="1">
      <alignment horizontal="right" vertical="center"/>
    </xf>
    <xf numFmtId="0" fontId="2" fillId="0" borderId="0" xfId="36" applyAlignment="1">
      <alignment vertical="center"/>
    </xf>
    <xf numFmtId="0" fontId="1" fillId="0" borderId="0" xfId="36" applyFont="1" applyAlignment="1">
      <alignment vertical="center"/>
    </xf>
    <xf numFmtId="1" fontId="3" fillId="0" borderId="0" xfId="13" applyNumberFormat="1" applyFont="1" applyBorder="1" applyAlignment="1" applyProtection="1">
      <alignment horizontal="center" vertical="center"/>
    </xf>
    <xf numFmtId="0" fontId="3" fillId="0" borderId="0" xfId="13" applyFont="1" applyBorder="1" applyAlignment="1" applyProtection="1">
      <alignment horizontal="center" vertical="center"/>
    </xf>
    <xf numFmtId="0" fontId="3" fillId="0" borderId="2" xfId="13" applyFont="1" applyBorder="1" applyAlignment="1" applyProtection="1">
      <alignment horizontal="center" vertical="center"/>
    </xf>
    <xf numFmtId="0" fontId="3" fillId="0" borderId="3" xfId="13" applyFont="1" applyBorder="1" applyAlignment="1" applyProtection="1">
      <alignment horizontal="center" vertical="center"/>
    </xf>
    <xf numFmtId="1" fontId="3" fillId="0" borderId="0" xfId="13" applyNumberFormat="1" applyFont="1" applyFill="1" applyBorder="1" applyAlignment="1" applyProtection="1">
      <alignment horizontal="center" vertical="center"/>
    </xf>
    <xf numFmtId="1" fontId="5" fillId="0" borderId="0" xfId="13" applyNumberFormat="1" applyFont="1" applyBorder="1" applyAlignment="1" applyProtection="1">
      <alignment horizontal="center" vertical="center"/>
    </xf>
    <xf numFmtId="1" fontId="5" fillId="0" borderId="0" xfId="13" applyNumberFormat="1" applyFont="1" applyFill="1" applyBorder="1" applyAlignment="1" applyProtection="1">
      <alignment horizontal="center" vertical="center"/>
    </xf>
    <xf numFmtId="1" fontId="5" fillId="16" borderId="0" xfId="13" applyNumberFormat="1" applyFont="1" applyFill="1" applyBorder="1" applyAlignment="1" applyProtection="1">
      <alignment horizontal="center" vertical="center"/>
    </xf>
    <xf numFmtId="0" fontId="9" fillId="0" borderId="0" xfId="36" applyFont="1" applyAlignment="1">
      <alignment vertical="center"/>
    </xf>
    <xf numFmtId="166" fontId="1" fillId="0" borderId="0" xfId="26" applyNumberFormat="1" applyFont="1" applyFill="1" applyAlignment="1" applyProtection="1">
      <alignment horizontal="right" vertical="center"/>
    </xf>
    <xf numFmtId="0" fontId="2" fillId="0" borderId="2" xfId="36" applyBorder="1" applyAlignment="1">
      <alignment vertical="center"/>
    </xf>
    <xf numFmtId="166" fontId="1" fillId="0" borderId="2" xfId="36" applyNumberFormat="1" applyFont="1" applyBorder="1" applyAlignment="1">
      <alignment horizontal="right" vertical="center"/>
    </xf>
    <xf numFmtId="166" fontId="1" fillId="0" borderId="0" xfId="36" applyNumberFormat="1" applyFont="1" applyAlignment="1">
      <alignment horizontal="right" vertical="center"/>
    </xf>
    <xf numFmtId="0" fontId="59" fillId="0" borderId="0" xfId="36" applyFont="1" applyAlignment="1">
      <alignment vertical="center"/>
    </xf>
    <xf numFmtId="0" fontId="59" fillId="0" borderId="2" xfId="36" applyFont="1" applyBorder="1" applyAlignment="1">
      <alignment vertical="center"/>
    </xf>
    <xf numFmtId="0" fontId="2" fillId="0" borderId="0" xfId="36" applyAlignment="1">
      <alignment horizontal="left" vertical="center"/>
    </xf>
    <xf numFmtId="10" fontId="2" fillId="0" borderId="0" xfId="36" applyNumberFormat="1" applyAlignment="1">
      <alignment horizontal="right" vertical="center"/>
    </xf>
    <xf numFmtId="168" fontId="2" fillId="0" borderId="6" xfId="36" applyNumberFormat="1" applyBorder="1" applyAlignment="1">
      <alignment horizontal="right" vertical="center"/>
    </xf>
    <xf numFmtId="9" fontId="5" fillId="0" borderId="0" xfId="39" applyNumberFormat="1" applyFont="1" applyAlignment="1">
      <alignment horizontal="center"/>
    </xf>
    <xf numFmtId="168" fontId="9" fillId="0" borderId="0" xfId="36" applyNumberFormat="1" applyFont="1" applyAlignment="1">
      <alignment vertical="center"/>
    </xf>
    <xf numFmtId="1" fontId="3" fillId="0" borderId="2" xfId="13" applyNumberFormat="1" applyFont="1" applyFill="1" applyBorder="1" applyAlignment="1" applyProtection="1">
      <alignment horizontal="center" vertical="center"/>
    </xf>
    <xf numFmtId="1" fontId="3" fillId="0" borderId="3" xfId="13" applyNumberFormat="1" applyFont="1" applyFill="1" applyBorder="1" applyAlignment="1" applyProtection="1">
      <alignment horizontal="center" vertical="center"/>
    </xf>
    <xf numFmtId="168" fontId="11" fillId="0" borderId="0" xfId="36" applyNumberFormat="1" applyFont="1" applyAlignment="1">
      <alignment horizontal="right" vertical="center"/>
    </xf>
    <xf numFmtId="10" fontId="1" fillId="0" borderId="0" xfId="26" applyNumberFormat="1" applyFont="1" applyFill="1" applyAlignment="1" applyProtection="1">
      <alignment horizontal="right" vertical="center"/>
    </xf>
    <xf numFmtId="1" fontId="3" fillId="16" borderId="0" xfId="13" applyNumberFormat="1" applyFont="1" applyFill="1" applyBorder="1" applyAlignment="1" applyProtection="1">
      <alignment horizontal="center" vertical="center"/>
    </xf>
    <xf numFmtId="174" fontId="17" fillId="0" borderId="0" xfId="39" applyNumberFormat="1" applyFont="1" applyAlignment="1">
      <alignment vertical="center"/>
    </xf>
    <xf numFmtId="172" fontId="9" fillId="0" borderId="0" xfId="26" applyNumberFormat="1" applyFont="1" applyFill="1" applyBorder="1" applyAlignment="1" applyProtection="1">
      <alignment vertical="center"/>
    </xf>
    <xf numFmtId="0" fontId="60" fillId="18" borderId="0" xfId="35" applyFont="1" applyFill="1"/>
    <xf numFmtId="166" fontId="60" fillId="18" borderId="0" xfId="35" applyNumberFormat="1" applyFont="1" applyFill="1"/>
    <xf numFmtId="0" fontId="61" fillId="18" borderId="0" xfId="35" applyFont="1" applyFill="1"/>
    <xf numFmtId="167" fontId="62" fillId="18" borderId="0" xfId="35" applyNumberFormat="1" applyFont="1" applyFill="1"/>
    <xf numFmtId="9" fontId="61" fillId="18" borderId="0" xfId="35" applyNumberFormat="1" applyFont="1" applyFill="1" applyAlignment="1">
      <alignment horizontal="center"/>
    </xf>
    <xf numFmtId="42" fontId="60" fillId="18" borderId="0" xfId="35" applyNumberFormat="1" applyFont="1" applyFill="1"/>
    <xf numFmtId="42" fontId="9" fillId="0" borderId="31" xfId="39" applyNumberFormat="1" applyFont="1" applyBorder="1"/>
    <xf numFmtId="0" fontId="60" fillId="18" borderId="0" xfId="39" applyFont="1" applyFill="1" applyAlignment="1">
      <alignment horizontal="left" vertical="center"/>
    </xf>
    <xf numFmtId="0" fontId="63" fillId="18" borderId="0" xfId="39" applyFont="1" applyFill="1" applyAlignment="1">
      <alignment vertical="center"/>
    </xf>
    <xf numFmtId="3" fontId="64" fillId="18" borderId="0" xfId="39" applyNumberFormat="1" applyFont="1" applyFill="1" applyAlignment="1">
      <alignment horizontal="center" vertical="center"/>
    </xf>
    <xf numFmtId="42" fontId="60" fillId="18" borderId="34" xfId="39" applyNumberFormat="1" applyFont="1" applyFill="1" applyBorder="1" applyAlignment="1">
      <alignment horizontal="right" vertical="center"/>
    </xf>
    <xf numFmtId="42" fontId="11" fillId="18" borderId="0" xfId="36" applyNumberFormat="1" applyFont="1" applyFill="1" applyAlignment="1">
      <alignment horizontal="right" vertical="center"/>
    </xf>
    <xf numFmtId="0" fontId="60" fillId="18" borderId="0" xfId="35" applyFont="1" applyFill="1" applyAlignment="1">
      <alignment horizontal="right"/>
    </xf>
    <xf numFmtId="42" fontId="60" fillId="18" borderId="0" xfId="35" applyNumberFormat="1" applyFont="1" applyFill="1" applyAlignment="1">
      <alignment horizontal="right"/>
    </xf>
    <xf numFmtId="0" fontId="26" fillId="0" borderId="0" xfId="39" applyFont="1"/>
    <xf numFmtId="0" fontId="27" fillId="0" borderId="0" xfId="39" applyFont="1" applyAlignment="1">
      <alignment horizontal="left"/>
    </xf>
    <xf numFmtId="10" fontId="26" fillId="0" borderId="0" xfId="39" applyNumberFormat="1" applyFont="1" applyAlignment="1">
      <alignment horizontal="right"/>
    </xf>
    <xf numFmtId="3" fontId="26" fillId="0" borderId="0" xfId="39" applyNumberFormat="1" applyFont="1" applyAlignment="1">
      <alignment horizontal="right"/>
    </xf>
    <xf numFmtId="0" fontId="63" fillId="18" borderId="0" xfId="39" applyFont="1" applyFill="1"/>
    <xf numFmtId="3" fontId="64" fillId="18" borderId="0" xfId="39" applyNumberFormat="1" applyFont="1" applyFill="1" applyAlignment="1">
      <alignment horizontal="center"/>
    </xf>
    <xf numFmtId="42" fontId="60" fillId="18" borderId="34" xfId="39" applyNumberFormat="1" applyFont="1" applyFill="1" applyBorder="1" applyAlignment="1">
      <alignment horizontal="right"/>
    </xf>
    <xf numFmtId="10" fontId="26" fillId="0" borderId="0" xfId="26" applyNumberFormat="1" applyFont="1" applyProtection="1"/>
    <xf numFmtId="9" fontId="2" fillId="16" borderId="0" xfId="39" applyNumberFormat="1" applyFont="1" applyFill="1"/>
    <xf numFmtId="10" fontId="65" fillId="0" borderId="0" xfId="39" applyNumberFormat="1" applyFont="1"/>
    <xf numFmtId="42" fontId="9" fillId="16" borderId="30" xfId="39" applyNumberFormat="1" applyFont="1" applyFill="1" applyBorder="1"/>
    <xf numFmtId="42" fontId="9" fillId="16" borderId="35" xfId="39" applyNumberFormat="1" applyFont="1" applyFill="1" applyBorder="1"/>
    <xf numFmtId="10" fontId="5" fillId="0" borderId="27" xfId="39" applyNumberFormat="1" applyFont="1" applyBorder="1" applyAlignment="1">
      <alignment horizontal="right" vertical="center"/>
    </xf>
    <xf numFmtId="10" fontId="5" fillId="0" borderId="28" xfId="39" applyNumberFormat="1" applyFont="1" applyBorder="1" applyAlignment="1">
      <alignment horizontal="right"/>
    </xf>
    <xf numFmtId="10" fontId="5" fillId="0" borderId="29" xfId="39" applyNumberFormat="1" applyFont="1" applyBorder="1" applyAlignment="1">
      <alignment horizontal="right"/>
    </xf>
    <xf numFmtId="10" fontId="5" fillId="0" borderId="0" xfId="39" applyNumberFormat="1" applyFont="1" applyAlignment="1">
      <alignment horizontal="right" vertical="center"/>
    </xf>
    <xf numFmtId="10" fontId="1" fillId="16" borderId="0" xfId="39" applyNumberFormat="1" applyFont="1" applyFill="1"/>
    <xf numFmtId="10" fontId="5" fillId="0" borderId="27" xfId="26" applyNumberFormat="1" applyFont="1" applyFill="1" applyBorder="1" applyAlignment="1" applyProtection="1">
      <alignment vertical="center"/>
    </xf>
    <xf numFmtId="10" fontId="5" fillId="0" borderId="36" xfId="26" applyNumberFormat="1" applyFont="1" applyFill="1" applyBorder="1" applyAlignment="1" applyProtection="1">
      <alignment vertical="center"/>
    </xf>
    <xf numFmtId="10" fontId="66" fillId="0" borderId="0" xfId="35" applyNumberFormat="1" applyFont="1" applyAlignment="1">
      <alignment horizontal="center"/>
    </xf>
    <xf numFmtId="10" fontId="2" fillId="0" borderId="0" xfId="35" applyNumberFormat="1" applyAlignment="1">
      <alignment horizontal="center"/>
    </xf>
    <xf numFmtId="10" fontId="2" fillId="17" borderId="0" xfId="35" applyNumberFormat="1" applyFill="1" applyAlignment="1" applyProtection="1">
      <alignment horizontal="right"/>
      <protection locked="0"/>
    </xf>
    <xf numFmtId="10" fontId="2" fillId="0" borderId="4" xfId="35" applyNumberFormat="1" applyBorder="1" applyAlignment="1">
      <alignment horizontal="center"/>
    </xf>
    <xf numFmtId="10" fontId="2" fillId="0" borderId="5" xfId="35" applyNumberFormat="1" applyBorder="1" applyAlignment="1">
      <alignment horizontal="center"/>
    </xf>
    <xf numFmtId="10" fontId="61" fillId="18" borderId="0" xfId="35" applyNumberFormat="1" applyFont="1" applyFill="1" applyAlignment="1">
      <alignment horizontal="center"/>
    </xf>
    <xf numFmtId="10" fontId="67" fillId="0" borderId="0" xfId="39" applyNumberFormat="1" applyFont="1"/>
    <xf numFmtId="0" fontId="67" fillId="0" borderId="0" xfId="39" applyFont="1"/>
    <xf numFmtId="176" fontId="9" fillId="17" borderId="37" xfId="39" applyNumberFormat="1" applyFont="1" applyFill="1" applyBorder="1" applyProtection="1">
      <protection locked="0"/>
    </xf>
    <xf numFmtId="177" fontId="2" fillId="17" borderId="0" xfId="36" applyNumberFormat="1" applyFill="1" applyAlignment="1" applyProtection="1">
      <alignment horizontal="right" vertical="center"/>
      <protection locked="0"/>
    </xf>
    <xf numFmtId="178" fontId="1" fillId="16" borderId="0" xfId="26" applyNumberFormat="1" applyFont="1" applyFill="1" applyAlignment="1" applyProtection="1">
      <alignment horizontal="right" vertical="center"/>
    </xf>
    <xf numFmtId="9" fontId="5" fillId="17" borderId="0" xfId="39" applyNumberFormat="1" applyFont="1" applyFill="1" applyAlignment="1" applyProtection="1">
      <alignment horizontal="right"/>
      <protection locked="0"/>
    </xf>
    <xf numFmtId="3" fontId="5" fillId="10" borderId="0" xfId="39" applyNumberFormat="1" applyFont="1" applyFill="1"/>
    <xf numFmtId="9" fontId="6" fillId="0" borderId="0" xfId="39" applyNumberFormat="1" applyFont="1" applyAlignment="1">
      <alignment horizontal="right"/>
    </xf>
    <xf numFmtId="178" fontId="68" fillId="19" borderId="0" xfId="26" applyNumberFormat="1" applyFont="1" applyFill="1" applyAlignment="1" applyProtection="1">
      <alignment horizontal="right" vertical="center"/>
    </xf>
    <xf numFmtId="42" fontId="9" fillId="0" borderId="0" xfId="35" applyNumberFormat="1" applyFont="1" applyAlignment="1">
      <alignment vertical="center"/>
    </xf>
    <xf numFmtId="168" fontId="10" fillId="0" borderId="0" xfId="36" applyNumberFormat="1" applyFont="1" applyAlignment="1">
      <alignment vertical="center"/>
    </xf>
    <xf numFmtId="3" fontId="5" fillId="0" borderId="30" xfId="39" applyNumberFormat="1" applyFont="1" applyBorder="1"/>
    <xf numFmtId="0" fontId="5" fillId="0" borderId="38" xfId="39" applyFont="1" applyBorder="1"/>
    <xf numFmtId="172" fontId="5" fillId="0" borderId="38" xfId="39" applyNumberFormat="1" applyFont="1" applyBorder="1" applyAlignment="1">
      <alignment horizontal="right"/>
    </xf>
    <xf numFmtId="0" fontId="28" fillId="0" borderId="0" xfId="39" applyFont="1" applyAlignment="1">
      <alignment horizontal="left"/>
    </xf>
    <xf numFmtId="168" fontId="8" fillId="0" borderId="0" xfId="36" applyNumberFormat="1" applyFont="1" applyAlignment="1">
      <alignment horizontal="center" vertical="center"/>
    </xf>
    <xf numFmtId="168" fontId="2" fillId="0" borderId="0" xfId="36" applyNumberFormat="1" applyAlignment="1">
      <alignment vertical="center"/>
    </xf>
    <xf numFmtId="42" fontId="1" fillId="16" borderId="4" xfId="36" applyNumberFormat="1" applyFont="1" applyFill="1" applyBorder="1" applyAlignment="1">
      <alignment vertical="center"/>
    </xf>
    <xf numFmtId="10" fontId="5" fillId="0" borderId="0" xfId="39" applyNumberFormat="1" applyFont="1" applyAlignment="1">
      <alignment horizontal="center"/>
    </xf>
    <xf numFmtId="42" fontId="9" fillId="16" borderId="0" xfId="35" applyNumberFormat="1" applyFont="1" applyFill="1" applyAlignment="1">
      <alignment vertical="center"/>
    </xf>
    <xf numFmtId="178" fontId="26" fillId="0" borderId="0" xfId="26" applyNumberFormat="1" applyFont="1" applyProtection="1"/>
    <xf numFmtId="42" fontId="9" fillId="16" borderId="2" xfId="35" applyNumberFormat="1" applyFont="1" applyFill="1" applyBorder="1" applyAlignment="1">
      <alignment vertical="center"/>
    </xf>
    <xf numFmtId="178" fontId="68" fillId="0" borderId="0" xfId="26" applyNumberFormat="1" applyFont="1" applyFill="1" applyAlignment="1" applyProtection="1">
      <alignment horizontal="right" vertical="center"/>
    </xf>
    <xf numFmtId="10" fontId="67" fillId="0" borderId="0" xfId="26" applyNumberFormat="1" applyFont="1" applyFill="1" applyAlignment="1" applyProtection="1">
      <alignment horizontal="right" vertical="center"/>
    </xf>
    <xf numFmtId="1" fontId="10" fillId="16" borderId="30" xfId="39" applyNumberFormat="1" applyFont="1" applyFill="1" applyBorder="1" applyAlignment="1">
      <alignment horizontal="left" vertical="center"/>
    </xf>
    <xf numFmtId="164" fontId="10" fillId="16" borderId="30" xfId="39" applyNumberFormat="1" applyFont="1" applyFill="1" applyBorder="1" applyAlignment="1">
      <alignment horizontal="left" vertical="center"/>
    </xf>
    <xf numFmtId="0" fontId="10" fillId="16" borderId="30" xfId="39" applyFont="1" applyFill="1" applyBorder="1" applyAlignment="1">
      <alignment vertical="center"/>
    </xf>
    <xf numFmtId="0" fontId="9" fillId="16" borderId="30" xfId="39" applyFont="1" applyFill="1" applyBorder="1" applyAlignment="1">
      <alignment vertical="center"/>
    </xf>
    <xf numFmtId="42" fontId="9" fillId="0" borderId="30" xfId="39" applyNumberFormat="1" applyFont="1" applyBorder="1" applyAlignment="1">
      <alignment vertical="center"/>
    </xf>
    <xf numFmtId="167" fontId="67" fillId="0" borderId="0" xfId="35" applyNumberFormat="1" applyFont="1" applyAlignment="1">
      <alignment horizontal="right"/>
    </xf>
    <xf numFmtId="166" fontId="25" fillId="0" borderId="0" xfId="35" applyNumberFormat="1" applyFont="1" applyAlignment="1">
      <alignment horizontal="left"/>
    </xf>
    <xf numFmtId="172" fontId="25" fillId="0" borderId="0" xfId="35" applyNumberFormat="1" applyFont="1" applyAlignment="1">
      <alignment horizontal="right"/>
    </xf>
    <xf numFmtId="42" fontId="1" fillId="16" borderId="4" xfId="36" applyNumberFormat="1" applyFont="1" applyFill="1" applyBorder="1" applyAlignment="1">
      <alignment horizontal="right" vertical="center"/>
    </xf>
    <xf numFmtId="42" fontId="9" fillId="16" borderId="2" xfId="35" applyNumberFormat="1" applyFont="1" applyFill="1" applyBorder="1" applyAlignment="1">
      <alignment horizontal="right" vertical="center"/>
    </xf>
    <xf numFmtId="10" fontId="5" fillId="0" borderId="0" xfId="26" applyNumberFormat="1" applyFont="1" applyFill="1" applyBorder="1" applyAlignment="1" applyProtection="1">
      <alignment vertical="center"/>
    </xf>
    <xf numFmtId="0" fontId="69" fillId="0" borderId="0" xfId="0" applyFont="1" applyAlignment="1">
      <alignment vertical="top" wrapText="1"/>
    </xf>
    <xf numFmtId="1" fontId="70" fillId="0" borderId="0" xfId="13" applyNumberFormat="1" applyFont="1" applyAlignment="1">
      <alignment horizontal="center" vertical="center"/>
    </xf>
    <xf numFmtId="1" fontId="3" fillId="0" borderId="0" xfId="13" applyNumberFormat="1" applyFont="1" applyAlignment="1">
      <alignment horizontal="center" vertical="center"/>
    </xf>
    <xf numFmtId="10" fontId="71" fillId="0" borderId="0" xfId="26" applyNumberFormat="1" applyFont="1" applyAlignment="1">
      <alignment horizontal="right" vertical="center"/>
    </xf>
    <xf numFmtId="10" fontId="71" fillId="0" borderId="2" xfId="26" applyNumberFormat="1" applyFont="1" applyBorder="1" applyAlignment="1">
      <alignment horizontal="right" vertical="center"/>
    </xf>
    <xf numFmtId="10" fontId="71" fillId="0" borderId="0" xfId="36" applyNumberFormat="1" applyFont="1" applyAlignment="1">
      <alignment horizontal="right" vertical="center"/>
    </xf>
    <xf numFmtId="10" fontId="71" fillId="0" borderId="2" xfId="36" applyNumberFormat="1" applyFont="1" applyBorder="1" applyAlignment="1">
      <alignment horizontal="right" vertical="center"/>
    </xf>
    <xf numFmtId="1" fontId="70" fillId="0" borderId="0" xfId="13" applyNumberFormat="1" applyFont="1" applyAlignment="1">
      <alignment horizontal="right" vertical="center"/>
    </xf>
    <xf numFmtId="0" fontId="72" fillId="0" borderId="0" xfId="0" applyFont="1"/>
    <xf numFmtId="0" fontId="72" fillId="0" borderId="0" xfId="0" applyFont="1" applyAlignment="1">
      <alignment horizontal="left"/>
    </xf>
    <xf numFmtId="0" fontId="72" fillId="0" borderId="0" xfId="0" applyFont="1" applyAlignment="1">
      <alignment vertical="center"/>
    </xf>
    <xf numFmtId="0" fontId="72" fillId="0" borderId="0" xfId="0" applyFont="1" applyAlignment="1">
      <alignment vertical="top"/>
    </xf>
    <xf numFmtId="0" fontId="73" fillId="0" borderId="0" xfId="0" applyFont="1"/>
    <xf numFmtId="0" fontId="14" fillId="0" borderId="7" xfId="39" applyFont="1" applyBorder="1" applyAlignment="1">
      <alignment vertical="center"/>
    </xf>
    <xf numFmtId="0" fontId="15" fillId="0" borderId="7" xfId="39" applyFont="1" applyBorder="1" applyAlignment="1">
      <alignment vertical="center"/>
    </xf>
    <xf numFmtId="0" fontId="5" fillId="0" borderId="7" xfId="39" applyFont="1" applyBorder="1"/>
    <xf numFmtId="0" fontId="5" fillId="0" borderId="7" xfId="39" applyFont="1" applyBorder="1" applyAlignment="1">
      <alignment vertical="center"/>
    </xf>
    <xf numFmtId="0" fontId="5" fillId="0" borderId="7" xfId="39" applyFont="1" applyBorder="1" applyAlignment="1">
      <alignment vertical="top"/>
    </xf>
    <xf numFmtId="0" fontId="5" fillId="0" borderId="8" xfId="39" applyFont="1" applyBorder="1"/>
    <xf numFmtId="0" fontId="5" fillId="0" borderId="4" xfId="39" applyFont="1" applyBorder="1"/>
    <xf numFmtId="0" fontId="5" fillId="0" borderId="9" xfId="39" applyFont="1" applyBorder="1"/>
    <xf numFmtId="0" fontId="24" fillId="0" borderId="10" xfId="39" applyFont="1" applyBorder="1" applyAlignment="1">
      <alignment horizontal="left" vertical="center"/>
    </xf>
    <xf numFmtId="0" fontId="24" fillId="0" borderId="0" xfId="39" applyFont="1" applyAlignment="1">
      <alignment horizontal="left" vertical="center"/>
    </xf>
    <xf numFmtId="0" fontId="14" fillId="0" borderId="11" xfId="39" applyFont="1" applyBorder="1" applyAlignment="1">
      <alignment horizontal="left" vertical="center"/>
    </xf>
    <xf numFmtId="0" fontId="24" fillId="0" borderId="5" xfId="39" applyFont="1" applyBorder="1" applyAlignment="1">
      <alignment horizontal="left"/>
    </xf>
    <xf numFmtId="0" fontId="59" fillId="0" borderId="0" xfId="36" applyFont="1" applyAlignment="1">
      <alignment horizontal="right" vertical="center"/>
    </xf>
    <xf numFmtId="10" fontId="59" fillId="0" borderId="0" xfId="26" applyNumberFormat="1" applyFont="1" applyFill="1" applyAlignment="1" applyProtection="1">
      <alignment horizontal="right" vertical="center"/>
    </xf>
    <xf numFmtId="10" fontId="59" fillId="0" borderId="2" xfId="26" applyNumberFormat="1" applyFont="1" applyFill="1" applyBorder="1" applyAlignment="1" applyProtection="1">
      <alignment horizontal="right" vertical="center"/>
    </xf>
    <xf numFmtId="0" fontId="24" fillId="0" borderId="0" xfId="39" applyFont="1"/>
    <xf numFmtId="0" fontId="14" fillId="0" borderId="0" xfId="39" applyFont="1" applyAlignment="1" applyProtection="1">
      <alignment vertical="center"/>
      <protection locked="0"/>
    </xf>
    <xf numFmtId="0" fontId="24" fillId="0" borderId="0" xfId="39" applyFont="1" applyAlignment="1" applyProtection="1">
      <alignment vertical="center"/>
      <protection locked="0"/>
    </xf>
    <xf numFmtId="0" fontId="24" fillId="0" borderId="0" xfId="39" applyFont="1" applyProtection="1">
      <protection locked="0"/>
    </xf>
    <xf numFmtId="0" fontId="24" fillId="0" borderId="0" xfId="39" applyFont="1" applyAlignment="1">
      <alignment horizontal="left"/>
    </xf>
    <xf numFmtId="0" fontId="24" fillId="0" borderId="10" xfId="39" applyFont="1" applyBorder="1" applyAlignment="1">
      <alignment vertical="center"/>
    </xf>
    <xf numFmtId="0" fontId="24" fillId="0" borderId="8" xfId="39" applyFont="1" applyBorder="1" applyAlignment="1">
      <alignment vertical="center"/>
    </xf>
    <xf numFmtId="0" fontId="24" fillId="0" borderId="4" xfId="39" applyFont="1" applyBorder="1" applyAlignment="1">
      <alignment vertical="center"/>
    </xf>
    <xf numFmtId="1" fontId="74" fillId="0" borderId="27" xfId="39" applyNumberFormat="1" applyFont="1" applyBorder="1" applyAlignment="1">
      <alignment horizontal="left" vertical="center"/>
    </xf>
    <xf numFmtId="0" fontId="75" fillId="0" borderId="0" xfId="39" applyFont="1" applyAlignment="1">
      <alignment horizontal="left"/>
    </xf>
    <xf numFmtId="164" fontId="74" fillId="0" borderId="27" xfId="39" applyNumberFormat="1" applyFont="1" applyBorder="1" applyAlignment="1">
      <alignment horizontal="left" vertical="center"/>
    </xf>
    <xf numFmtId="0" fontId="16" fillId="0" borderId="7" xfId="39" applyFont="1" applyBorder="1"/>
    <xf numFmtId="0" fontId="14" fillId="0" borderId="8" xfId="39" applyFont="1" applyBorder="1" applyAlignment="1">
      <alignment vertical="center"/>
    </xf>
    <xf numFmtId="0" fontId="14" fillId="0" borderId="4" xfId="39" applyFont="1" applyBorder="1" applyAlignment="1">
      <alignment vertical="center"/>
    </xf>
    <xf numFmtId="0" fontId="56" fillId="0" borderId="12" xfId="0" applyFont="1" applyBorder="1" applyAlignment="1">
      <alignment horizontal="center" textRotation="90" wrapText="1"/>
    </xf>
    <xf numFmtId="0" fontId="56" fillId="0" borderId="13" xfId="0" applyFont="1" applyBorder="1" applyAlignment="1">
      <alignment horizontal="center" textRotation="90" wrapText="1"/>
    </xf>
    <xf numFmtId="0" fontId="76" fillId="0" borderId="13" xfId="0" applyFont="1" applyBorder="1" applyAlignment="1">
      <alignment horizontal="center"/>
    </xf>
    <xf numFmtId="0" fontId="5" fillId="0" borderId="5" xfId="39" applyFont="1" applyBorder="1" applyAlignment="1">
      <alignment horizontal="left"/>
    </xf>
    <xf numFmtId="0" fontId="5" fillId="0" borderId="4" xfId="39" applyFont="1" applyBorder="1" applyAlignment="1">
      <alignment vertical="top"/>
    </xf>
    <xf numFmtId="0" fontId="5" fillId="0" borderId="14" xfId="39" applyFont="1" applyBorder="1" applyAlignment="1">
      <alignment horizontal="left"/>
    </xf>
    <xf numFmtId="0" fontId="76" fillId="0" borderId="13" xfId="0" applyFont="1" applyBorder="1" applyAlignment="1">
      <alignment horizontal="center" vertical="center"/>
    </xf>
    <xf numFmtId="0" fontId="5" fillId="0" borderId="10" xfId="39" applyFont="1" applyBorder="1"/>
    <xf numFmtId="10" fontId="5" fillId="0" borderId="3" xfId="39" applyNumberFormat="1" applyFont="1" applyBorder="1" applyAlignment="1">
      <alignment horizontal="right"/>
    </xf>
    <xf numFmtId="0" fontId="0" fillId="0" borderId="3" xfId="0" applyBorder="1"/>
    <xf numFmtId="3" fontId="5" fillId="0" borderId="3" xfId="39" applyNumberFormat="1" applyFont="1" applyBorder="1" applyAlignment="1">
      <alignment horizontal="right"/>
    </xf>
    <xf numFmtId="10" fontId="2" fillId="0" borderId="15" xfId="26" applyNumberFormat="1" applyFont="1" applyBorder="1" applyAlignment="1">
      <alignment horizontal="right" vertical="center"/>
    </xf>
    <xf numFmtId="10" fontId="2" fillId="0" borderId="15" xfId="36" applyNumberFormat="1" applyBorder="1" applyAlignment="1">
      <alignment horizontal="right" vertical="center"/>
    </xf>
    <xf numFmtId="10" fontId="2" fillId="17" borderId="3" xfId="36" applyNumberFormat="1" applyFill="1" applyBorder="1" applyAlignment="1" applyProtection="1">
      <alignment horizontal="right" vertical="center"/>
      <protection locked="0"/>
    </xf>
    <xf numFmtId="168" fontId="2" fillId="0" borderId="16" xfId="36" applyNumberFormat="1" applyBorder="1" applyAlignment="1">
      <alignment horizontal="right" vertical="center"/>
    </xf>
    <xf numFmtId="0" fontId="5" fillId="0" borderId="12" xfId="39" applyFont="1" applyBorder="1" applyAlignment="1">
      <alignment vertical="center"/>
    </xf>
    <xf numFmtId="0" fontId="56" fillId="0" borderId="17" xfId="0" applyFont="1" applyBorder="1" applyAlignment="1">
      <alignment textRotation="90" wrapText="1"/>
    </xf>
    <xf numFmtId="10" fontId="2" fillId="0" borderId="3" xfId="36" applyNumberFormat="1" applyBorder="1" applyAlignment="1">
      <alignment horizontal="right" vertical="center"/>
    </xf>
    <xf numFmtId="168" fontId="2" fillId="0" borderId="3" xfId="36" applyNumberFormat="1" applyBorder="1" applyAlignment="1">
      <alignment vertical="center"/>
    </xf>
    <xf numFmtId="0" fontId="5" fillId="0" borderId="12" xfId="39" applyFont="1" applyBorder="1"/>
    <xf numFmtId="10" fontId="2" fillId="0" borderId="0" xfId="26" applyNumberFormat="1" applyFont="1" applyFill="1" applyAlignment="1" applyProtection="1">
      <alignment horizontal="right" vertical="center"/>
    </xf>
    <xf numFmtId="10" fontId="3" fillId="0" borderId="0" xfId="39" applyNumberFormat="1" applyFont="1"/>
    <xf numFmtId="10" fontId="2" fillId="0" borderId="0" xfId="35" applyNumberFormat="1"/>
    <xf numFmtId="10" fontId="71" fillId="0" borderId="0" xfId="26" applyNumberFormat="1" applyFont="1" applyFill="1" applyAlignment="1" applyProtection="1">
      <alignment horizontal="right" vertical="center"/>
    </xf>
    <xf numFmtId="9" fontId="9" fillId="17" borderId="31" xfId="39" applyNumberFormat="1" applyFont="1" applyFill="1" applyBorder="1" applyAlignment="1" applyProtection="1">
      <alignment horizontal="right"/>
      <protection locked="0"/>
    </xf>
    <xf numFmtId="3" fontId="9" fillId="16" borderId="39" xfId="39" applyNumberFormat="1" applyFont="1" applyFill="1" applyBorder="1"/>
    <xf numFmtId="9" fontId="9" fillId="0" borderId="30" xfId="39" applyNumberFormat="1" applyFont="1" applyBorder="1" applyAlignment="1">
      <alignment horizontal="right"/>
    </xf>
    <xf numFmtId="9" fontId="9" fillId="17" borderId="40" xfId="39" applyNumberFormat="1" applyFont="1" applyFill="1" applyBorder="1" applyAlignment="1" applyProtection="1">
      <alignment horizontal="right"/>
      <protection locked="0"/>
    </xf>
    <xf numFmtId="3" fontId="9" fillId="16" borderId="27" xfId="39" applyNumberFormat="1" applyFont="1" applyFill="1" applyBorder="1"/>
    <xf numFmtId="9" fontId="9" fillId="17" borderId="30" xfId="39" applyNumberFormat="1" applyFont="1" applyFill="1" applyBorder="1" applyAlignment="1" applyProtection="1">
      <alignment horizontal="right"/>
      <protection locked="0"/>
    </xf>
    <xf numFmtId="9" fontId="10" fillId="0" borderId="30" xfId="39" applyNumberFormat="1" applyFont="1" applyBorder="1" applyAlignment="1">
      <alignment horizontal="right"/>
    </xf>
    <xf numFmtId="3" fontId="9" fillId="0" borderId="31" xfId="39" applyNumberFormat="1" applyFont="1" applyBorder="1"/>
    <xf numFmtId="0" fontId="17" fillId="0" borderId="27" xfId="39" applyFont="1" applyBorder="1"/>
    <xf numFmtId="165" fontId="17" fillId="0" borderId="28" xfId="39" applyNumberFormat="1" applyFont="1" applyBorder="1" applyAlignment="1">
      <alignment horizontal="left"/>
    </xf>
    <xf numFmtId="0" fontId="17" fillId="0" borderId="28" xfId="39" applyFont="1" applyBorder="1"/>
    <xf numFmtId="3" fontId="9" fillId="16" borderId="32" xfId="39" applyNumberFormat="1" applyFont="1" applyFill="1" applyBorder="1"/>
    <xf numFmtId="0" fontId="17" fillId="0" borderId="41" xfId="39" applyFont="1" applyBorder="1"/>
    <xf numFmtId="0" fontId="17" fillId="0" borderId="29" xfId="39" applyFont="1" applyBorder="1" applyAlignment="1">
      <alignment horizontal="left"/>
    </xf>
    <xf numFmtId="0" fontId="17" fillId="0" borderId="38" xfId="39" applyFont="1" applyBorder="1"/>
    <xf numFmtId="0" fontId="17" fillId="0" borderId="29" xfId="39" applyFont="1" applyBorder="1"/>
    <xf numFmtId="3" fontId="9" fillId="16" borderId="30" xfId="39" applyNumberFormat="1" applyFont="1" applyFill="1" applyBorder="1"/>
    <xf numFmtId="10" fontId="9" fillId="0" borderId="0" xfId="39" applyNumberFormat="1" applyFont="1" applyAlignment="1">
      <alignment horizontal="right" vertical="center"/>
    </xf>
    <xf numFmtId="0" fontId="1" fillId="16" borderId="0" xfId="39" applyFont="1" applyFill="1" applyAlignment="1">
      <alignment vertical="center"/>
    </xf>
    <xf numFmtId="3" fontId="1" fillId="16" borderId="0" xfId="21" applyNumberFormat="1" applyFont="1" applyFill="1" applyAlignment="1">
      <alignment horizontal="right" vertical="center"/>
    </xf>
    <xf numFmtId="175" fontId="19" fillId="16" borderId="0" xfId="21" applyNumberFormat="1" applyFont="1" applyFill="1" applyAlignment="1">
      <alignment vertical="center"/>
    </xf>
    <xf numFmtId="175" fontId="5" fillId="16" borderId="0" xfId="21" applyNumberFormat="1" applyFont="1" applyFill="1" applyAlignment="1">
      <alignment horizontal="center" vertical="center"/>
    </xf>
    <xf numFmtId="3" fontId="1" fillId="16" borderId="0" xfId="21" applyNumberFormat="1" applyFont="1" applyFill="1" applyAlignment="1">
      <alignment vertical="center"/>
    </xf>
    <xf numFmtId="1" fontId="10" fillId="16" borderId="0" xfId="39" applyNumberFormat="1" applyFont="1" applyFill="1" applyAlignment="1">
      <alignment vertical="center"/>
    </xf>
    <xf numFmtId="0" fontId="10" fillId="0" borderId="27" xfId="39" applyFont="1" applyBorder="1" applyAlignment="1">
      <alignment vertical="center"/>
    </xf>
    <xf numFmtId="42" fontId="60" fillId="18" borderId="0" xfId="39" applyNumberFormat="1" applyFont="1" applyFill="1" applyAlignment="1">
      <alignment horizontal="right" vertical="center"/>
    </xf>
    <xf numFmtId="1" fontId="3" fillId="17" borderId="0" xfId="13" applyNumberFormat="1" applyFont="1" applyFill="1" applyBorder="1" applyAlignment="1" applyProtection="1">
      <alignment horizontal="center" vertical="center"/>
      <protection locked="0"/>
    </xf>
    <xf numFmtId="1" fontId="3" fillId="17" borderId="3" xfId="13" applyNumberFormat="1" applyFont="1" applyFill="1" applyBorder="1" applyAlignment="1" applyProtection="1">
      <alignment horizontal="center" vertical="center"/>
      <protection locked="0"/>
    </xf>
    <xf numFmtId="1" fontId="3" fillId="17" borderId="2" xfId="13" applyNumberFormat="1" applyFont="1" applyFill="1" applyBorder="1" applyAlignment="1" applyProtection="1">
      <alignment horizontal="center" vertical="center"/>
      <protection locked="0"/>
    </xf>
    <xf numFmtId="0" fontId="32" fillId="0" borderId="3" xfId="35" applyFont="1" applyBorder="1" applyAlignment="1">
      <alignment horizontal="center"/>
    </xf>
    <xf numFmtId="0" fontId="9" fillId="0" borderId="3" xfId="39" applyFont="1" applyBorder="1"/>
    <xf numFmtId="178" fontId="1" fillId="16" borderId="31" xfId="26" applyNumberFormat="1" applyFont="1" applyFill="1" applyBorder="1" applyAlignment="1" applyProtection="1">
      <alignment horizontal="right" vertical="center"/>
    </xf>
    <xf numFmtId="0" fontId="2" fillId="0" borderId="0" xfId="35" applyAlignment="1">
      <alignment vertical="top"/>
    </xf>
    <xf numFmtId="9" fontId="2" fillId="17" borderId="31" xfId="36" applyNumberFormat="1" applyFill="1" applyBorder="1" applyAlignment="1" applyProtection="1">
      <alignment horizontal="right" vertical="center"/>
      <protection locked="0"/>
    </xf>
    <xf numFmtId="0" fontId="71" fillId="0" borderId="0" xfId="36" applyFont="1" applyAlignment="1">
      <alignment horizontal="center" vertical="center"/>
    </xf>
    <xf numFmtId="42" fontId="10" fillId="0" borderId="0" xfId="35" applyNumberFormat="1" applyFont="1" applyAlignment="1">
      <alignment vertical="center"/>
    </xf>
    <xf numFmtId="10" fontId="2" fillId="17" borderId="31" xfId="36" applyNumberFormat="1" applyFill="1" applyBorder="1" applyAlignment="1" applyProtection="1">
      <alignment horizontal="right" vertical="center"/>
      <protection locked="0"/>
    </xf>
    <xf numFmtId="10" fontId="71" fillId="0" borderId="0" xfId="26" applyNumberFormat="1" applyFont="1" applyFill="1" applyAlignment="1" applyProtection="1">
      <alignment vertical="center"/>
    </xf>
    <xf numFmtId="10" fontId="2" fillId="17" borderId="30" xfId="36" applyNumberFormat="1" applyFill="1" applyBorder="1" applyAlignment="1" applyProtection="1">
      <alignment horizontal="right" vertical="center"/>
      <protection locked="0"/>
    </xf>
    <xf numFmtId="10" fontId="77" fillId="0" borderId="0" xfId="26" applyNumberFormat="1" applyFont="1" applyFill="1" applyAlignment="1" applyProtection="1">
      <alignment vertical="center"/>
    </xf>
    <xf numFmtId="10" fontId="2" fillId="17" borderId="42" xfId="36" applyNumberFormat="1" applyFill="1" applyBorder="1" applyAlignment="1" applyProtection="1">
      <alignment horizontal="right" vertical="center"/>
      <protection locked="0"/>
    </xf>
    <xf numFmtId="168" fontId="2" fillId="0" borderId="2" xfId="36" applyNumberFormat="1" applyBorder="1" applyAlignment="1">
      <alignment vertical="center"/>
    </xf>
    <xf numFmtId="10" fontId="77" fillId="0" borderId="2" xfId="26" applyNumberFormat="1" applyFont="1" applyFill="1" applyBorder="1" applyAlignment="1" applyProtection="1">
      <alignment vertical="center"/>
    </xf>
    <xf numFmtId="0" fontId="2" fillId="0" borderId="6" xfId="36" applyBorder="1" applyAlignment="1">
      <alignment vertical="top"/>
    </xf>
    <xf numFmtId="10" fontId="2" fillId="0" borderId="0" xfId="36" applyNumberFormat="1" applyAlignment="1">
      <alignment horizontal="right" vertical="top"/>
    </xf>
    <xf numFmtId="168" fontId="9" fillId="0" borderId="0" xfId="36" applyNumberFormat="1" applyFont="1" applyAlignment="1">
      <alignment vertical="top"/>
    </xf>
    <xf numFmtId="168" fontId="9" fillId="0" borderId="6" xfId="36" applyNumberFormat="1" applyFont="1" applyBorder="1" applyAlignment="1">
      <alignment vertical="top"/>
    </xf>
    <xf numFmtId="10" fontId="71" fillId="0" borderId="2" xfId="26" applyNumberFormat="1" applyFont="1" applyFill="1" applyBorder="1" applyAlignment="1" applyProtection="1">
      <alignment vertical="center"/>
    </xf>
    <xf numFmtId="10" fontId="2" fillId="17" borderId="2" xfId="36" applyNumberFormat="1" applyFill="1" applyBorder="1" applyAlignment="1" applyProtection="1">
      <alignment horizontal="right" vertical="center"/>
      <protection locked="0"/>
    </xf>
    <xf numFmtId="168" fontId="9" fillId="0" borderId="2" xfId="36" applyNumberFormat="1" applyFont="1" applyBorder="1" applyAlignment="1">
      <alignment vertical="center"/>
    </xf>
    <xf numFmtId="0" fontId="33" fillId="0" borderId="0" xfId="36" applyFont="1" applyAlignment="1">
      <alignment vertical="center"/>
    </xf>
    <xf numFmtId="176" fontId="9" fillId="17" borderId="37" xfId="39" applyNumberFormat="1" applyFont="1" applyFill="1" applyBorder="1" applyAlignment="1" applyProtection="1">
      <alignment vertical="center"/>
      <protection locked="0"/>
    </xf>
    <xf numFmtId="177" fontId="2" fillId="0" borderId="0" xfId="36" applyNumberFormat="1" applyAlignment="1" applyProtection="1">
      <alignment horizontal="right" vertical="center"/>
      <protection locked="0"/>
    </xf>
    <xf numFmtId="42" fontId="2" fillId="0" borderId="0" xfId="35" applyNumberFormat="1" applyAlignment="1">
      <alignment horizontal="left"/>
    </xf>
    <xf numFmtId="10" fontId="2" fillId="17" borderId="0" xfId="35" applyNumberFormat="1" applyFill="1" applyAlignment="1" applyProtection="1">
      <alignment horizontal="right" vertical="center"/>
      <protection locked="0"/>
    </xf>
    <xf numFmtId="0" fontId="9" fillId="0" borderId="0" xfId="39" applyFont="1" applyAlignment="1">
      <alignment horizontal="left"/>
    </xf>
    <xf numFmtId="10" fontId="9" fillId="0" borderId="0" xfId="39" applyNumberFormat="1" applyFont="1" applyAlignment="1">
      <alignment horizontal="right"/>
    </xf>
    <xf numFmtId="10" fontId="2" fillId="0" borderId="15" xfId="36" applyNumberFormat="1" applyBorder="1" applyAlignment="1" applyProtection="1">
      <alignment horizontal="right" vertical="center"/>
      <protection locked="0"/>
    </xf>
    <xf numFmtId="1" fontId="3" fillId="17" borderId="6" xfId="13" applyNumberFormat="1" applyFont="1" applyFill="1" applyBorder="1" applyAlignment="1" applyProtection="1">
      <alignment horizontal="center" vertical="center"/>
      <protection locked="0"/>
    </xf>
    <xf numFmtId="3" fontId="2" fillId="17" borderId="30" xfId="39" applyNumberFormat="1" applyFont="1" applyFill="1" applyBorder="1" applyAlignment="1" applyProtection="1">
      <alignment vertical="center"/>
      <protection locked="0"/>
    </xf>
    <xf numFmtId="10" fontId="2" fillId="0" borderId="0" xfId="26" applyNumberFormat="1" applyFont="1" applyFill="1" applyBorder="1" applyAlignment="1" applyProtection="1">
      <alignment horizontal="right" vertical="center"/>
    </xf>
    <xf numFmtId="10" fontId="2" fillId="0" borderId="0" xfId="36" applyNumberFormat="1" applyAlignment="1" applyProtection="1">
      <alignment horizontal="right" vertical="center"/>
      <protection locked="0"/>
    </xf>
    <xf numFmtId="0" fontId="2" fillId="0" borderId="0" xfId="36" applyAlignment="1">
      <alignment vertical="top"/>
    </xf>
    <xf numFmtId="3" fontId="9" fillId="0" borderId="30" xfId="39" applyNumberFormat="1" applyFont="1" applyBorder="1"/>
    <xf numFmtId="3" fontId="9" fillId="16" borderId="30" xfId="39" applyNumberFormat="1" applyFont="1" applyFill="1" applyBorder="1" applyAlignment="1">
      <alignment vertical="center"/>
    </xf>
    <xf numFmtId="9" fontId="2" fillId="17" borderId="30" xfId="36" applyNumberFormat="1" applyFill="1" applyBorder="1" applyAlignment="1" applyProtection="1">
      <alignment horizontal="right" vertical="center"/>
      <protection locked="0"/>
    </xf>
    <xf numFmtId="168" fontId="0" fillId="0" borderId="0" xfId="0" applyNumberFormat="1"/>
    <xf numFmtId="1" fontId="5" fillId="0" borderId="43" xfId="39" applyNumberFormat="1" applyFont="1" applyBorder="1" applyAlignment="1">
      <alignment horizontal="left"/>
    </xf>
    <xf numFmtId="164" fontId="5" fillId="0" borderId="43" xfId="39" applyNumberFormat="1" applyFont="1" applyBorder="1" applyAlignment="1">
      <alignment horizontal="left"/>
    </xf>
    <xf numFmtId="0" fontId="5" fillId="0" borderId="43" xfId="39" applyFont="1" applyBorder="1"/>
    <xf numFmtId="10" fontId="71" fillId="0" borderId="0" xfId="26" applyNumberFormat="1" applyFont="1" applyFill="1" applyBorder="1" applyAlignment="1" applyProtection="1">
      <alignment vertical="center"/>
    </xf>
    <xf numFmtId="0" fontId="34" fillId="0" borderId="6" xfId="36" applyFont="1" applyBorder="1" applyAlignment="1">
      <alignment horizontal="left" vertical="center"/>
    </xf>
    <xf numFmtId="168" fontId="2" fillId="0" borderId="2" xfId="36" applyNumberFormat="1" applyBorder="1" applyAlignment="1">
      <alignment horizontal="right" vertical="center"/>
    </xf>
    <xf numFmtId="168" fontId="5" fillId="0" borderId="0" xfId="39" applyNumberFormat="1" applyFont="1"/>
    <xf numFmtId="0" fontId="34" fillId="0" borderId="0" xfId="36" applyFont="1" applyAlignment="1">
      <alignment horizontal="left" vertical="center"/>
    </xf>
    <xf numFmtId="42" fontId="1" fillId="16" borderId="6" xfId="35" applyNumberFormat="1" applyFont="1" applyFill="1" applyBorder="1" applyAlignment="1">
      <alignment horizontal="right"/>
    </xf>
    <xf numFmtId="10" fontId="5" fillId="17" borderId="0" xfId="39" applyNumberFormat="1" applyFont="1" applyFill="1" applyAlignment="1">
      <alignment horizontal="right"/>
    </xf>
    <xf numFmtId="168" fontId="10" fillId="17" borderId="0" xfId="36" applyNumberFormat="1" applyFont="1" applyFill="1" applyAlignment="1">
      <alignment vertical="center"/>
    </xf>
    <xf numFmtId="10" fontId="5" fillId="17" borderId="30" xfId="39" applyNumberFormat="1" applyFont="1" applyFill="1" applyBorder="1" applyAlignment="1">
      <alignment horizontal="right"/>
    </xf>
    <xf numFmtId="168" fontId="10" fillId="17" borderId="30" xfId="36" applyNumberFormat="1" applyFont="1" applyFill="1" applyBorder="1" applyAlignment="1">
      <alignment vertical="center"/>
    </xf>
    <xf numFmtId="42" fontId="10" fillId="0" borderId="0" xfId="36" applyNumberFormat="1" applyFont="1" applyAlignment="1">
      <alignment vertical="center"/>
    </xf>
    <xf numFmtId="10" fontId="5" fillId="17" borderId="31" xfId="39" applyNumberFormat="1" applyFont="1" applyFill="1" applyBorder="1" applyAlignment="1">
      <alignment horizontal="right"/>
    </xf>
    <xf numFmtId="42" fontId="10" fillId="17" borderId="31" xfId="36" applyNumberFormat="1" applyFont="1" applyFill="1" applyBorder="1" applyAlignment="1">
      <alignment vertical="center"/>
    </xf>
    <xf numFmtId="42" fontId="10" fillId="17" borderId="30" xfId="36" applyNumberFormat="1" applyFont="1" applyFill="1" applyBorder="1" applyAlignment="1">
      <alignment vertical="center"/>
    </xf>
    <xf numFmtId="42" fontId="10" fillId="17" borderId="0" xfId="36" applyNumberFormat="1" applyFont="1" applyFill="1" applyAlignment="1">
      <alignment vertical="center"/>
    </xf>
    <xf numFmtId="168" fontId="2" fillId="0" borderId="3" xfId="36" applyNumberFormat="1" applyBorder="1" applyAlignment="1">
      <alignment horizontal="right" vertical="center"/>
    </xf>
    <xf numFmtId="168" fontId="2" fillId="0" borderId="0" xfId="36" applyNumberFormat="1" applyAlignment="1">
      <alignment horizontal="right" vertical="center"/>
    </xf>
    <xf numFmtId="0" fontId="22" fillId="0" borderId="0" xfId="39" applyFont="1" applyAlignment="1">
      <alignment horizontal="left" vertical="center"/>
    </xf>
    <xf numFmtId="180" fontId="5" fillId="0" borderId="0" xfId="21" applyNumberFormat="1" applyFont="1" applyBorder="1" applyAlignment="1" applyProtection="1">
      <alignment horizontal="right" vertical="center"/>
      <protection locked="0"/>
    </xf>
    <xf numFmtId="9" fontId="37" fillId="16" borderId="0" xfId="39" applyNumberFormat="1" applyFont="1" applyFill="1" applyAlignment="1">
      <alignment horizontal="right" vertical="center"/>
    </xf>
    <xf numFmtId="180" fontId="2" fillId="16" borderId="34" xfId="21" applyNumberFormat="1" applyFont="1" applyFill="1" applyBorder="1" applyAlignment="1">
      <alignment vertical="center"/>
    </xf>
    <xf numFmtId="9" fontId="5" fillId="0" borderId="0" xfId="39" applyNumberFormat="1" applyFont="1" applyAlignment="1" applyProtection="1">
      <alignment horizontal="right" vertical="center"/>
      <protection locked="0"/>
    </xf>
    <xf numFmtId="180" fontId="9" fillId="0" borderId="34" xfId="21" applyNumberFormat="1" applyFont="1" applyFill="1" applyBorder="1" applyAlignment="1" applyProtection="1">
      <alignment horizontal="right" vertical="center"/>
      <protection locked="0"/>
    </xf>
    <xf numFmtId="0" fontId="5" fillId="0" borderId="0" xfId="39" applyFont="1" applyAlignment="1">
      <alignment horizontal="right" vertical="center"/>
    </xf>
    <xf numFmtId="180" fontId="5" fillId="0" borderId="0" xfId="39" applyNumberFormat="1" applyFont="1" applyAlignment="1">
      <alignment vertical="center"/>
    </xf>
    <xf numFmtId="180" fontId="9" fillId="0" borderId="34" xfId="21" applyNumberFormat="1" applyFont="1" applyFill="1" applyBorder="1" applyAlignment="1">
      <alignment vertical="center"/>
    </xf>
    <xf numFmtId="180" fontId="1" fillId="16" borderId="0" xfId="21" applyNumberFormat="1" applyFont="1" applyFill="1" applyBorder="1" applyAlignment="1">
      <alignment horizontal="right" vertical="center"/>
    </xf>
    <xf numFmtId="10" fontId="65" fillId="0" borderId="0" xfId="39" applyNumberFormat="1" applyFont="1" applyAlignment="1">
      <alignment vertical="center"/>
    </xf>
    <xf numFmtId="0" fontId="34" fillId="0" borderId="2" xfId="36" applyFont="1" applyBorder="1" applyAlignment="1">
      <alignment horizontal="left" vertical="center"/>
    </xf>
    <xf numFmtId="0" fontId="5" fillId="0" borderId="2" xfId="39" applyFont="1" applyBorder="1" applyAlignment="1">
      <alignment vertical="center"/>
    </xf>
    <xf numFmtId="0" fontId="2" fillId="0" borderId="0" xfId="36" applyAlignment="1">
      <alignment horizontal="left" vertical="top"/>
    </xf>
    <xf numFmtId="0" fontId="6" fillId="0" borderId="0" xfId="39" applyFont="1" applyAlignment="1">
      <alignment horizontal="left" vertical="center"/>
    </xf>
    <xf numFmtId="10" fontId="71" fillId="0" borderId="0" xfId="26" applyNumberFormat="1" applyFont="1" applyAlignment="1" applyProtection="1">
      <alignment horizontal="right" vertical="center"/>
    </xf>
    <xf numFmtId="10" fontId="71" fillId="0" borderId="0" xfId="26" applyNumberFormat="1" applyFont="1" applyBorder="1" applyAlignment="1" applyProtection="1">
      <alignment horizontal="right" vertical="center"/>
    </xf>
    <xf numFmtId="10" fontId="71" fillId="0" borderId="2" xfId="26" applyNumberFormat="1" applyFont="1" applyBorder="1" applyAlignment="1" applyProtection="1">
      <alignment horizontal="right" vertical="center"/>
    </xf>
    <xf numFmtId="10" fontId="70" fillId="0" borderId="0" xfId="39" applyNumberFormat="1" applyFont="1" applyAlignment="1">
      <alignment vertical="top"/>
    </xf>
    <xf numFmtId="10" fontId="2" fillId="17" borderId="44" xfId="36" applyNumberFormat="1" applyFill="1" applyBorder="1" applyAlignment="1" applyProtection="1">
      <alignment horizontal="right" vertical="center"/>
      <protection locked="0"/>
    </xf>
    <xf numFmtId="10" fontId="2" fillId="17" borderId="0" xfId="36" applyNumberFormat="1" applyFill="1" applyAlignment="1" applyProtection="1">
      <alignment horizontal="right" vertical="center"/>
      <protection locked="0"/>
    </xf>
    <xf numFmtId="42" fontId="10" fillId="16" borderId="0" xfId="35" applyNumberFormat="1" applyFont="1" applyFill="1" applyAlignment="1">
      <alignment vertical="center"/>
    </xf>
    <xf numFmtId="0" fontId="0" fillId="0" borderId="2" xfId="0" applyBorder="1"/>
    <xf numFmtId="0" fontId="2" fillId="0" borderId="6" xfId="36" applyBorder="1" applyAlignment="1">
      <alignment vertical="center"/>
    </xf>
    <xf numFmtId="42" fontId="1" fillId="16" borderId="2" xfId="35" applyNumberFormat="1" applyFont="1" applyFill="1" applyBorder="1"/>
    <xf numFmtId="0" fontId="2" fillId="0" borderId="6" xfId="36" applyBorder="1" applyAlignment="1">
      <alignment horizontal="left" vertical="center"/>
    </xf>
    <xf numFmtId="0" fontId="2" fillId="0" borderId="6" xfId="36" applyBorder="1" applyAlignment="1">
      <alignment vertical="center" wrapText="1"/>
    </xf>
    <xf numFmtId="10" fontId="71" fillId="0" borderId="0" xfId="39" applyNumberFormat="1" applyFont="1"/>
    <xf numFmtId="0" fontId="3" fillId="0" borderId="0" xfId="35" applyFont="1" applyAlignment="1">
      <alignment vertical="center"/>
    </xf>
    <xf numFmtId="0" fontId="3" fillId="0" borderId="2" xfId="35" applyFont="1" applyBorder="1" applyAlignment="1">
      <alignment vertical="center"/>
    </xf>
    <xf numFmtId="0" fontId="79" fillId="0" borderId="0" xfId="39" applyFont="1" applyAlignment="1">
      <alignment horizontal="left" vertical="top"/>
    </xf>
    <xf numFmtId="42" fontId="9" fillId="0" borderId="44" xfId="39" applyNumberFormat="1" applyFont="1" applyBorder="1"/>
    <xf numFmtId="9" fontId="5" fillId="0" borderId="30" xfId="39" applyNumberFormat="1" applyFont="1" applyBorder="1" applyAlignment="1" applyProtection="1">
      <alignment horizontal="right"/>
      <protection locked="0"/>
    </xf>
    <xf numFmtId="42" fontId="9" fillId="20" borderId="27" xfId="39" applyNumberFormat="1" applyFont="1" applyFill="1" applyBorder="1" applyProtection="1">
      <protection locked="0"/>
    </xf>
    <xf numFmtId="9" fontId="2" fillId="20" borderId="31" xfId="36" applyNumberFormat="1" applyFill="1" applyBorder="1" applyAlignment="1" applyProtection="1">
      <alignment horizontal="right" vertical="center"/>
      <protection locked="0"/>
    </xf>
    <xf numFmtId="0" fontId="24" fillId="17" borderId="0" xfId="39" applyFont="1" applyFill="1" applyProtection="1">
      <protection locked="0"/>
    </xf>
    <xf numFmtId="0" fontId="24" fillId="0" borderId="0" xfId="39" applyFont="1" applyAlignment="1" applyProtection="1">
      <alignment vertical="center"/>
      <protection locked="0"/>
    </xf>
    <xf numFmtId="0" fontId="24" fillId="0" borderId="0" xfId="39" applyFont="1" applyAlignment="1">
      <alignment vertical="center"/>
    </xf>
    <xf numFmtId="0" fontId="24" fillId="0" borderId="0" xfId="39" applyFont="1"/>
    <xf numFmtId="173" fontId="9" fillId="20" borderId="44" xfId="39" applyNumberFormat="1" applyFont="1" applyFill="1" applyBorder="1" applyAlignment="1">
      <alignment horizontal="right"/>
    </xf>
    <xf numFmtId="179" fontId="9" fillId="20" borderId="43" xfId="39" applyNumberFormat="1" applyFont="1" applyFill="1" applyBorder="1" applyAlignment="1" applyProtection="1">
      <alignment horizontal="right"/>
      <protection locked="0"/>
    </xf>
    <xf numFmtId="42" fontId="9" fillId="16" borderId="0" xfId="39" applyNumberFormat="1" applyFont="1" applyFill="1" applyAlignment="1">
      <alignment horizontal="right" vertical="center"/>
    </xf>
    <xf numFmtId="178" fontId="25" fillId="0" borderId="0" xfId="35" applyNumberFormat="1" applyFont="1" applyAlignment="1">
      <alignment horizontal="right"/>
    </xf>
    <xf numFmtId="0" fontId="24" fillId="17" borderId="0" xfId="39" applyFont="1" applyFill="1" applyAlignment="1" applyProtection="1">
      <alignment vertical="center"/>
      <protection locked="0"/>
    </xf>
    <xf numFmtId="0" fontId="24" fillId="0" borderId="10" xfId="39" applyFont="1" applyBorder="1" applyAlignment="1">
      <alignment horizontal="left" vertical="center"/>
    </xf>
    <xf numFmtId="0" fontId="24" fillId="0" borderId="0" xfId="39" applyFont="1" applyAlignment="1">
      <alignment horizontal="left" vertical="center"/>
    </xf>
    <xf numFmtId="0" fontId="14" fillId="17" borderId="0" xfId="39" applyFont="1" applyFill="1" applyAlignment="1" applyProtection="1">
      <alignment horizontal="left" vertical="center"/>
      <protection locked="0"/>
    </xf>
    <xf numFmtId="0" fontId="24" fillId="17" borderId="0" xfId="39" applyFont="1" applyFill="1" applyAlignment="1" applyProtection="1">
      <alignment horizontal="left" vertical="center"/>
      <protection locked="0"/>
    </xf>
    <xf numFmtId="0" fontId="14" fillId="17" borderId="0" xfId="39" applyFont="1" applyFill="1" applyAlignment="1">
      <alignment vertical="center"/>
    </xf>
    <xf numFmtId="0" fontId="56" fillId="0" borderId="12" xfId="0" applyFont="1" applyBorder="1" applyAlignment="1">
      <alignment horizontal="center" textRotation="90" wrapText="1"/>
    </xf>
    <xf numFmtId="0" fontId="56" fillId="0" borderId="13" xfId="0" applyFont="1" applyBorder="1" applyAlignment="1">
      <alignment horizontal="center" textRotation="90" wrapText="1"/>
    </xf>
    <xf numFmtId="0" fontId="56" fillId="0" borderId="17" xfId="0" applyFont="1" applyBorder="1" applyAlignment="1">
      <alignment horizontal="center" textRotation="90" wrapText="1"/>
    </xf>
    <xf numFmtId="10" fontId="17" fillId="0" borderId="0" xfId="39" applyNumberFormat="1" applyFont="1" applyAlignment="1">
      <alignment horizontal="right" wrapText="1"/>
    </xf>
    <xf numFmtId="0" fontId="78" fillId="0" borderId="0" xfId="39" applyFont="1" applyAlignment="1">
      <alignment horizontal="left" vertical="top" wrapText="1"/>
    </xf>
    <xf numFmtId="1" fontId="10" fillId="16" borderId="27" xfId="39" applyNumberFormat="1" applyFont="1" applyFill="1" applyBorder="1" applyAlignment="1">
      <alignment horizontal="left" vertical="center"/>
    </xf>
    <xf numFmtId="1" fontId="10" fillId="16" borderId="0" xfId="39" applyNumberFormat="1" applyFont="1" applyFill="1" applyAlignment="1">
      <alignment horizontal="left" vertical="center"/>
    </xf>
    <xf numFmtId="10" fontId="58" fillId="0" borderId="0" xfId="39" applyNumberFormat="1" applyFont="1" applyAlignment="1">
      <alignment horizontal="center"/>
    </xf>
    <xf numFmtId="0" fontId="14" fillId="0" borderId="0" xfId="39" applyFont="1" applyAlignment="1" applyProtection="1">
      <alignment horizontal="left" vertical="center"/>
      <protection locked="0"/>
    </xf>
    <xf numFmtId="0" fontId="14" fillId="0" borderId="0" xfId="39" applyFont="1" applyAlignment="1">
      <alignment vertical="center"/>
    </xf>
    <xf numFmtId="0" fontId="24" fillId="0" borderId="0" xfId="39" applyFont="1" applyAlignment="1" applyProtection="1">
      <alignment horizontal="left" vertical="center"/>
      <protection locked="0"/>
    </xf>
    <xf numFmtId="0" fontId="76" fillId="0" borderId="12" xfId="0" applyFont="1" applyBorder="1" applyAlignment="1" applyProtection="1">
      <alignment horizontal="center" vertical="center"/>
      <protection locked="0"/>
    </xf>
    <xf numFmtId="0" fontId="76" fillId="0" borderId="13" xfId="0" applyFont="1" applyBorder="1" applyAlignment="1" applyProtection="1">
      <alignment horizontal="center" vertical="center"/>
      <protection locked="0"/>
    </xf>
    <xf numFmtId="0" fontId="76" fillId="0" borderId="12" xfId="0" applyFont="1" applyBorder="1" applyAlignment="1">
      <alignment horizontal="center" vertical="center"/>
    </xf>
    <xf numFmtId="0" fontId="76" fillId="0" borderId="17" xfId="0" applyFont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0" fontId="76" fillId="0" borderId="17" xfId="0" applyFont="1" applyBorder="1" applyAlignment="1" applyProtection="1">
      <alignment horizontal="center" vertical="center"/>
      <protection locked="0"/>
    </xf>
    <xf numFmtId="0" fontId="14" fillId="0" borderId="0" xfId="39" applyFont="1" applyAlignment="1">
      <alignment horizontal="left" vertical="center"/>
    </xf>
    <xf numFmtId="10" fontId="17" fillId="0" borderId="0" xfId="39" applyNumberFormat="1" applyFont="1" applyAlignment="1">
      <alignment horizontal="left" wrapText="1"/>
    </xf>
    <xf numFmtId="1" fontId="5" fillId="0" borderId="41" xfId="39" applyNumberFormat="1" applyFont="1" applyBorder="1" applyAlignment="1">
      <alignment horizontal="left"/>
    </xf>
    <xf numFmtId="1" fontId="5" fillId="0" borderId="27" xfId="39" applyNumberFormat="1" applyFont="1" applyBorder="1" applyAlignment="1">
      <alignment horizontal="left"/>
    </xf>
    <xf numFmtId="0" fontId="5" fillId="0" borderId="41" xfId="39" applyFont="1" applyBorder="1" applyAlignment="1">
      <alignment horizontal="left"/>
    </xf>
    <xf numFmtId="0" fontId="31" fillId="0" borderId="0" xfId="0" applyFont="1" applyAlignment="1">
      <alignment vertical="top" wrapText="1"/>
    </xf>
    <xf numFmtId="180" fontId="38" fillId="0" borderId="0" xfId="21" applyNumberFormat="1" applyFont="1" applyBorder="1" applyAlignment="1">
      <alignment horizontal="center" vertical="center"/>
    </xf>
    <xf numFmtId="0" fontId="76" fillId="17" borderId="0" xfId="0" applyFont="1" applyFill="1" applyAlignment="1" applyProtection="1">
      <alignment horizontal="center"/>
      <protection locked="0"/>
    </xf>
    <xf numFmtId="0" fontId="76" fillId="17" borderId="0" xfId="0" applyFont="1" applyFill="1" applyProtection="1">
      <protection locked="0"/>
    </xf>
  </cellXfs>
  <cellStyles count="48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 2 3" xfId="12" xr:uid="{00000000-0005-0000-0000-00000B000000}"/>
    <cellStyle name="Dezimal_T00003 2" xfId="13" xr:uid="{00000000-0005-0000-0000-00000C000000}"/>
    <cellStyle name="Eingabe" xfId="14" builtinId="20" customBuiltin="1"/>
    <cellStyle name="Ergebnis" xfId="15" builtinId="25" customBuiltin="1"/>
    <cellStyle name="Erklärender Text" xfId="16" builtinId="53" customBuiltin="1"/>
    <cellStyle name="Euro" xfId="17" xr:uid="{00000000-0005-0000-0000-000010000000}"/>
    <cellStyle name="Euro 2" xfId="18" xr:uid="{00000000-0005-0000-0000-000011000000}"/>
    <cellStyle name="graue hinterlegung" xfId="19" xr:uid="{00000000-0005-0000-0000-000012000000}"/>
    <cellStyle name="Gut" xfId="20" builtinId="26" customBuiltin="1"/>
    <cellStyle name="Komma" xfId="21" builtinId="3"/>
    <cellStyle name="Komma 2" xfId="22" xr:uid="{00000000-0005-0000-0000-000015000000}"/>
    <cellStyle name="Komma 2 2" xfId="23" xr:uid="{00000000-0005-0000-0000-000016000000}"/>
    <cellStyle name="Neutral" xfId="24" builtinId="28" customBuiltin="1"/>
    <cellStyle name="Notiz" xfId="25" builtinId="10" customBuiltin="1"/>
    <cellStyle name="Prozent" xfId="26" builtinId="5"/>
    <cellStyle name="Prozent 2" xfId="27" xr:uid="{00000000-0005-0000-0000-00001A000000}"/>
    <cellStyle name="Prozent 2 2" xfId="28" xr:uid="{00000000-0005-0000-0000-00001B000000}"/>
    <cellStyle name="Prozent 3" xfId="29" xr:uid="{00000000-0005-0000-0000-00001C000000}"/>
    <cellStyle name="Schlecht" xfId="30" builtinId="27" customBuiltin="1"/>
    <cellStyle name="Standard" xfId="0" builtinId="0"/>
    <cellStyle name="Standard 2" xfId="31" xr:uid="{00000000-0005-0000-0000-00001F000000}"/>
    <cellStyle name="Standard 2 2" xfId="32" xr:uid="{00000000-0005-0000-0000-000020000000}"/>
    <cellStyle name="Standard 3" xfId="33" xr:uid="{00000000-0005-0000-0000-000021000000}"/>
    <cellStyle name="Standard 3 2" xfId="34" xr:uid="{00000000-0005-0000-0000-000022000000}"/>
    <cellStyle name="Standard 3 3" xfId="35" xr:uid="{00000000-0005-0000-0000-000023000000}"/>
    <cellStyle name="Standard 4" xfId="36" xr:uid="{00000000-0005-0000-0000-000024000000}"/>
    <cellStyle name="Standard 5" xfId="37" xr:uid="{00000000-0005-0000-0000-000025000000}"/>
    <cellStyle name="Standard 5 2" xfId="38" xr:uid="{00000000-0005-0000-0000-000026000000}"/>
    <cellStyle name="Standard_K.Schätzung 2" xfId="39" xr:uid="{00000000-0005-0000-0000-000027000000}"/>
    <cellStyle name="Überschrift" xfId="40" builtinId="15" customBuiltin="1"/>
    <cellStyle name="Überschrift 1" xfId="41" builtinId="16" customBuiltin="1"/>
    <cellStyle name="Überschrift 2" xfId="42" builtinId="17" customBuiltin="1"/>
    <cellStyle name="Überschrift 3" xfId="43" builtinId="18" customBuiltin="1"/>
    <cellStyle name="Überschrift 4" xfId="44" builtinId="19" customBuiltin="1"/>
    <cellStyle name="Verknüpfte Zelle" xfId="45" builtinId="24" customBuiltin="1"/>
    <cellStyle name="Warnender Text" xfId="46" builtinId="11" customBuiltin="1"/>
    <cellStyle name="Zelle überprüfen" xfId="47" builtinId="23" customBuiltin="1"/>
  </cellStyles>
  <dxfs count="28"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  <dxf>
      <fill>
        <patternFill>
          <bgColor rgb="FFDAEF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Scroll" dx="22" fmlaLink="$F$42" horiz="1" max="10" min="1" page="0" val="6"/>
</file>

<file path=xl/ctrlProps/ctrlProp10.xml><?xml version="1.0" encoding="utf-8"?>
<formControlPr xmlns="http://schemas.microsoft.com/office/spreadsheetml/2009/9/main" objectType="Scroll" dx="22" fmlaLink="$G$48" horiz="1" max="25" min="1" page="0" val="6"/>
</file>

<file path=xl/ctrlProps/ctrlProp11.xml><?xml version="1.0" encoding="utf-8"?>
<formControlPr xmlns="http://schemas.microsoft.com/office/spreadsheetml/2009/9/main" objectType="Scroll" dx="22" fmlaLink="$G$49" horiz="1" max="5" min="1" page="0"/>
</file>

<file path=xl/ctrlProps/ctrlProp12.xml><?xml version="1.0" encoding="utf-8"?>
<formControlPr xmlns="http://schemas.microsoft.com/office/spreadsheetml/2009/9/main" objectType="Scroll" dx="22" fmlaLink="$G$50" horiz="1" max="5" min="1" page="0"/>
</file>

<file path=xl/ctrlProps/ctrlProp13.xml><?xml version="1.0" encoding="utf-8"?>
<formControlPr xmlns="http://schemas.microsoft.com/office/spreadsheetml/2009/9/main" objectType="Scroll" dx="22" fmlaLink="$G$51" horiz="1" max="5" min="1" page="0"/>
</file>

<file path=xl/ctrlProps/ctrlProp14.xml><?xml version="1.0" encoding="utf-8"?>
<formControlPr xmlns="http://schemas.microsoft.com/office/spreadsheetml/2009/9/main" objectType="Scroll" dx="22" fmlaLink="$G$53" horiz="1" max="5" page="0" val="0"/>
</file>

<file path=xl/ctrlProps/ctrlProp15.xml><?xml version="1.0" encoding="utf-8"?>
<formControlPr xmlns="http://schemas.microsoft.com/office/spreadsheetml/2009/9/main" objectType="Scroll" dx="22" fmlaLink="$G$54" horiz="1" max="3" page="0"/>
</file>

<file path=xl/ctrlProps/ctrlProp16.xml><?xml version="1.0" encoding="utf-8"?>
<formControlPr xmlns="http://schemas.microsoft.com/office/spreadsheetml/2009/9/main" objectType="Scroll" dx="22" fmlaLink="$G$55" horiz="1" max="3" page="0" val="2"/>
</file>

<file path=xl/ctrlProps/ctrlProp17.xml><?xml version="1.0" encoding="utf-8"?>
<formControlPr xmlns="http://schemas.microsoft.com/office/spreadsheetml/2009/9/main" objectType="Scroll" dx="22" fmlaLink="$G$56" horiz="1" max="5" page="0" val="0"/>
</file>

<file path=xl/ctrlProps/ctrlProp18.xml><?xml version="1.0" encoding="utf-8"?>
<formControlPr xmlns="http://schemas.microsoft.com/office/spreadsheetml/2009/9/main" objectType="Scroll" dx="22" fmlaLink="$G$47" horiz="1" max="42" min="1" page="0" val="25"/>
</file>

<file path=xl/ctrlProps/ctrlProp19.xml><?xml version="1.0" encoding="utf-8"?>
<formControlPr xmlns="http://schemas.microsoft.com/office/spreadsheetml/2009/9/main" objectType="Scroll" dx="22" fmlaLink="$G$48" horiz="1" max="5" min="1" page="0"/>
</file>

<file path=xl/ctrlProps/ctrlProp2.xml><?xml version="1.0" encoding="utf-8"?>
<formControlPr xmlns="http://schemas.microsoft.com/office/spreadsheetml/2009/9/main" objectType="Scroll" dx="22" fmlaLink="$F$43" horiz="1" max="10" min="1" page="0" val="3"/>
</file>

<file path=xl/ctrlProps/ctrlProp20.xml><?xml version="1.0" encoding="utf-8"?>
<formControlPr xmlns="http://schemas.microsoft.com/office/spreadsheetml/2009/9/main" objectType="Scroll" dx="22" fmlaLink="$G$49" horiz="1" max="5" min="1" page="0"/>
</file>

<file path=xl/ctrlProps/ctrlProp21.xml><?xml version="1.0" encoding="utf-8"?>
<formControlPr xmlns="http://schemas.microsoft.com/office/spreadsheetml/2009/9/main" objectType="Scroll" dx="22" fmlaLink="$G$50" horiz="1" max="5" min="1" page="0"/>
</file>

<file path=xl/ctrlProps/ctrlProp22.xml><?xml version="1.0" encoding="utf-8"?>
<formControlPr xmlns="http://schemas.microsoft.com/office/spreadsheetml/2009/9/main" objectType="Scroll" dx="22" fmlaLink="$G$52" horiz="1" max="5" page="0" val="0"/>
</file>

<file path=xl/ctrlProps/ctrlProp23.xml><?xml version="1.0" encoding="utf-8"?>
<formControlPr xmlns="http://schemas.microsoft.com/office/spreadsheetml/2009/9/main" objectType="Scroll" dx="22" fmlaLink="$G$53" horiz="1" max="3" page="0"/>
</file>

<file path=xl/ctrlProps/ctrlProp24.xml><?xml version="1.0" encoding="utf-8"?>
<formControlPr xmlns="http://schemas.microsoft.com/office/spreadsheetml/2009/9/main" objectType="Scroll" dx="22" fmlaLink="$G$54" horiz="1" max="4" page="0" val="2"/>
</file>

<file path=xl/ctrlProps/ctrlProp25.xml><?xml version="1.0" encoding="utf-8"?>
<formControlPr xmlns="http://schemas.microsoft.com/office/spreadsheetml/2009/9/main" objectType="Scroll" dx="22" fmlaLink="$G$55" horiz="1" max="5" page="0" val="0"/>
</file>

<file path=xl/ctrlProps/ctrlProp26.xml><?xml version="1.0" encoding="utf-8"?>
<formControlPr xmlns="http://schemas.microsoft.com/office/spreadsheetml/2009/9/main" objectType="Scroll" dx="22" fmlaLink="$G$45" horiz="1" max="42" min="8" page="0" val="25"/>
</file>

<file path=xl/ctrlProps/ctrlProp27.xml><?xml version="1.0" encoding="utf-8"?>
<formControlPr xmlns="http://schemas.microsoft.com/office/spreadsheetml/2009/9/main" objectType="Scroll" dx="22" fmlaLink="$G$46" horiz="1" max="5" min="1" page="0"/>
</file>

<file path=xl/ctrlProps/ctrlProp28.xml><?xml version="1.0" encoding="utf-8"?>
<formControlPr xmlns="http://schemas.microsoft.com/office/spreadsheetml/2009/9/main" objectType="Scroll" dx="22" fmlaLink="$G$47" horiz="1" max="5" min="1" page="0"/>
</file>

<file path=xl/ctrlProps/ctrlProp29.xml><?xml version="1.0" encoding="utf-8"?>
<formControlPr xmlns="http://schemas.microsoft.com/office/spreadsheetml/2009/9/main" objectType="Scroll" dx="22" fmlaLink="$G$48" horiz="1" max="5" min="1" page="0"/>
</file>

<file path=xl/ctrlProps/ctrlProp3.xml><?xml version="1.0" encoding="utf-8"?>
<formControlPr xmlns="http://schemas.microsoft.com/office/spreadsheetml/2009/9/main" objectType="Scroll" dx="22" fmlaLink="$F$44" horiz="1" max="10" min="1" page="0"/>
</file>

<file path=xl/ctrlProps/ctrlProp30.xml><?xml version="1.0" encoding="utf-8"?>
<formControlPr xmlns="http://schemas.microsoft.com/office/spreadsheetml/2009/9/main" objectType="Scroll" dx="22" fmlaLink="$G$50" horiz="1" max="2" page="0" val="0"/>
</file>

<file path=xl/ctrlProps/ctrlProp31.xml><?xml version="1.0" encoding="utf-8"?>
<formControlPr xmlns="http://schemas.microsoft.com/office/spreadsheetml/2009/9/main" objectType="Scroll" dx="22" fmlaLink="$G$51" horiz="1" max="2" page="0"/>
</file>

<file path=xl/ctrlProps/ctrlProp32.xml><?xml version="1.0" encoding="utf-8"?>
<formControlPr xmlns="http://schemas.microsoft.com/office/spreadsheetml/2009/9/main" objectType="Scroll" dx="22" fmlaLink="$G$52" horiz="1" max="3" page="0"/>
</file>

<file path=xl/ctrlProps/ctrlProp33.xml><?xml version="1.0" encoding="utf-8"?>
<formControlPr xmlns="http://schemas.microsoft.com/office/spreadsheetml/2009/9/main" objectType="Scroll" dx="22" fmlaLink="$G$53" horiz="1" max="5" page="0" val="0"/>
</file>

<file path=xl/ctrlProps/ctrlProp34.xml><?xml version="1.0" encoding="utf-8"?>
<formControlPr xmlns="http://schemas.microsoft.com/office/spreadsheetml/2009/9/main" objectType="Scroll" dx="22" fmlaLink="$G$45" horiz="1" max="42" min="6" page="0" val="18"/>
</file>

<file path=xl/ctrlProps/ctrlProp35.xml><?xml version="1.0" encoding="utf-8"?>
<formControlPr xmlns="http://schemas.microsoft.com/office/spreadsheetml/2009/9/main" objectType="Scroll" dx="22" fmlaLink="$G$46" horiz="1" max="5" min="1" page="0"/>
</file>

<file path=xl/ctrlProps/ctrlProp36.xml><?xml version="1.0" encoding="utf-8"?>
<formControlPr xmlns="http://schemas.microsoft.com/office/spreadsheetml/2009/9/main" objectType="Scroll" dx="22" fmlaLink="$G$47" horiz="1" max="5" min="1" page="0"/>
</file>

<file path=xl/ctrlProps/ctrlProp37.xml><?xml version="1.0" encoding="utf-8"?>
<formControlPr xmlns="http://schemas.microsoft.com/office/spreadsheetml/2009/9/main" objectType="Scroll" dx="22" fmlaLink="$G$48" horiz="1" max="5" min="1" page="0"/>
</file>

<file path=xl/ctrlProps/ctrlProp38.xml><?xml version="1.0" encoding="utf-8"?>
<formControlPr xmlns="http://schemas.microsoft.com/office/spreadsheetml/2009/9/main" objectType="Scroll" dx="22" fmlaLink="$G$50" horiz="1" max="3" page="0" val="0"/>
</file>

<file path=xl/ctrlProps/ctrlProp39.xml><?xml version="1.0" encoding="utf-8"?>
<formControlPr xmlns="http://schemas.microsoft.com/office/spreadsheetml/2009/9/main" objectType="Scroll" dx="22" fmlaLink="$G$51" horiz="1" max="3" page="0"/>
</file>

<file path=xl/ctrlProps/ctrlProp4.xml><?xml version="1.0" encoding="utf-8"?>
<formControlPr xmlns="http://schemas.microsoft.com/office/spreadsheetml/2009/9/main" objectType="Scroll" dx="22" fmlaLink="$F$45" horiz="1" max="5" min="1" page="0" val="2"/>
</file>

<file path=xl/ctrlProps/ctrlProp40.xml><?xml version="1.0" encoding="utf-8"?>
<formControlPr xmlns="http://schemas.microsoft.com/office/spreadsheetml/2009/9/main" objectType="Scroll" dx="22" fmlaLink="$G$52" horiz="1" max="3" page="0"/>
</file>

<file path=xl/ctrlProps/ctrlProp5.xml><?xml version="1.0" encoding="utf-8"?>
<formControlPr xmlns="http://schemas.microsoft.com/office/spreadsheetml/2009/9/main" objectType="Scroll" dx="22" fmlaLink="$F$46" horiz="1" max="5" min="1" page="0" val="2"/>
</file>

<file path=xl/ctrlProps/ctrlProp6.xml><?xml version="1.0" encoding="utf-8"?>
<formControlPr xmlns="http://schemas.microsoft.com/office/spreadsheetml/2009/9/main" objectType="Scroll" dx="22" fmlaLink="$F$48" horiz="1" max="5" page="0" val="0"/>
</file>

<file path=xl/ctrlProps/ctrlProp7.xml><?xml version="1.0" encoding="utf-8"?>
<formControlPr xmlns="http://schemas.microsoft.com/office/spreadsheetml/2009/9/main" objectType="Scroll" dx="22" fmlaLink="$F$49" horiz="1" max="3" page="0"/>
</file>

<file path=xl/ctrlProps/ctrlProp8.xml><?xml version="1.0" encoding="utf-8"?>
<formControlPr xmlns="http://schemas.microsoft.com/office/spreadsheetml/2009/9/main" objectType="Scroll" dx="22" fmlaLink="$F$50" horiz="1" max="3" page="0" val="2"/>
</file>

<file path=xl/ctrlProps/ctrlProp9.xml><?xml version="1.0" encoding="utf-8"?>
<formControlPr xmlns="http://schemas.microsoft.com/office/spreadsheetml/2009/9/main" objectType="Scroll" dx="22" fmlaLink="$F$51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455596</xdr:colOff>
      <xdr:row>36</xdr:row>
      <xdr:rowOff>6516</xdr:rowOff>
    </xdr:from>
    <xdr:to>
      <xdr:col>9</xdr:col>
      <xdr:colOff>455596</xdr:colOff>
      <xdr:row>36</xdr:row>
      <xdr:rowOff>75139</xdr:rowOff>
    </xdr:to>
    <xdr:cxnSp macro="">
      <xdr:nvCxnSpPr>
        <xdr:cNvPr id="8" name="Gerade Verbindung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>
          <a:off x="8661133" y="4755882"/>
          <a:ext cx="0" cy="162026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236414</xdr:colOff>
      <xdr:row>36</xdr:row>
      <xdr:rowOff>75599</xdr:rowOff>
    </xdr:from>
    <xdr:to>
      <xdr:col>9</xdr:col>
      <xdr:colOff>461010</xdr:colOff>
      <xdr:row>36</xdr:row>
      <xdr:rowOff>75599</xdr:rowOff>
    </xdr:to>
    <xdr:cxnSp macro="">
      <xdr:nvCxnSpPr>
        <xdr:cNvPr id="9" name="Gerade Verbindung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flipH="1">
          <a:off x="6907724" y="4891439"/>
          <a:ext cx="1455226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239445</xdr:colOff>
      <xdr:row>36</xdr:row>
      <xdr:rowOff>75599</xdr:rowOff>
    </xdr:from>
    <xdr:to>
      <xdr:col>7</xdr:col>
      <xdr:colOff>239445</xdr:colOff>
      <xdr:row>56</xdr:row>
      <xdr:rowOff>67408</xdr:rowOff>
    </xdr:to>
    <xdr:cxnSp macro="">
      <xdr:nvCxnSpPr>
        <xdr:cNvPr id="10" name="Gerade Verbindung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>
          <a:off x="6909876" y="4808791"/>
          <a:ext cx="0" cy="2861032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56</xdr:row>
      <xdr:rowOff>66957</xdr:rowOff>
    </xdr:from>
    <xdr:to>
      <xdr:col>7</xdr:col>
      <xdr:colOff>240699</xdr:colOff>
      <xdr:row>56</xdr:row>
      <xdr:rowOff>66957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 bwMode="auto">
        <a:xfrm flipH="1">
          <a:off x="5768139" y="7669511"/>
          <a:ext cx="1215380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41</xdr:row>
          <xdr:rowOff>28575</xdr:rowOff>
        </xdr:from>
        <xdr:to>
          <xdr:col>9</xdr:col>
          <xdr:colOff>1123950</xdr:colOff>
          <xdr:row>41</xdr:row>
          <xdr:rowOff>133350</xdr:rowOff>
        </xdr:to>
        <xdr:sp macro="" textlink="">
          <xdr:nvSpPr>
            <xdr:cNvPr id="46533" name="Scroll Bar 453" hidden="1">
              <a:extLst>
                <a:ext uri="{63B3BB69-23CF-44E3-9099-C40C66FF867C}">
                  <a14:compatExt spid="_x0000_s46533"/>
                </a:ext>
                <a:ext uri="{FF2B5EF4-FFF2-40B4-BE49-F238E27FC236}">
                  <a16:creationId xmlns:a16="http://schemas.microsoft.com/office/drawing/2014/main" id="{00000000-0008-0000-0100-0000C5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42</xdr:row>
          <xdr:rowOff>28575</xdr:rowOff>
        </xdr:from>
        <xdr:to>
          <xdr:col>9</xdr:col>
          <xdr:colOff>1123950</xdr:colOff>
          <xdr:row>42</xdr:row>
          <xdr:rowOff>133350</xdr:rowOff>
        </xdr:to>
        <xdr:sp macro="" textlink="">
          <xdr:nvSpPr>
            <xdr:cNvPr id="46534" name="Scroll Bar 454" hidden="1">
              <a:extLst>
                <a:ext uri="{63B3BB69-23CF-44E3-9099-C40C66FF867C}">
                  <a14:compatExt spid="_x0000_s46534"/>
                </a:ext>
                <a:ext uri="{FF2B5EF4-FFF2-40B4-BE49-F238E27FC236}">
                  <a16:creationId xmlns:a16="http://schemas.microsoft.com/office/drawing/2014/main" id="{00000000-0008-0000-0100-0000C6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28575</xdr:rowOff>
        </xdr:from>
        <xdr:to>
          <xdr:col>9</xdr:col>
          <xdr:colOff>1123950</xdr:colOff>
          <xdr:row>43</xdr:row>
          <xdr:rowOff>133350</xdr:rowOff>
        </xdr:to>
        <xdr:sp macro="" textlink="">
          <xdr:nvSpPr>
            <xdr:cNvPr id="46535" name="Scroll Bar 455" hidden="1">
              <a:extLst>
                <a:ext uri="{63B3BB69-23CF-44E3-9099-C40C66FF867C}">
                  <a14:compatExt spid="_x0000_s46535"/>
                </a:ext>
                <a:ext uri="{FF2B5EF4-FFF2-40B4-BE49-F238E27FC236}">
                  <a16:creationId xmlns:a16="http://schemas.microsoft.com/office/drawing/2014/main" id="{00000000-0008-0000-0100-0000C7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44</xdr:row>
          <xdr:rowOff>28575</xdr:rowOff>
        </xdr:from>
        <xdr:to>
          <xdr:col>9</xdr:col>
          <xdr:colOff>1123950</xdr:colOff>
          <xdr:row>44</xdr:row>
          <xdr:rowOff>133350</xdr:rowOff>
        </xdr:to>
        <xdr:sp macro="" textlink="">
          <xdr:nvSpPr>
            <xdr:cNvPr id="46536" name="Scroll Bar 456" hidden="1">
              <a:extLst>
                <a:ext uri="{63B3BB69-23CF-44E3-9099-C40C66FF867C}">
                  <a14:compatExt spid="_x0000_s46536"/>
                </a:ext>
                <a:ext uri="{FF2B5EF4-FFF2-40B4-BE49-F238E27FC236}">
                  <a16:creationId xmlns:a16="http://schemas.microsoft.com/office/drawing/2014/main" id="{00000000-0008-0000-0100-0000C8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45</xdr:row>
          <xdr:rowOff>28575</xdr:rowOff>
        </xdr:from>
        <xdr:to>
          <xdr:col>9</xdr:col>
          <xdr:colOff>1123950</xdr:colOff>
          <xdr:row>45</xdr:row>
          <xdr:rowOff>133350</xdr:rowOff>
        </xdr:to>
        <xdr:sp macro="" textlink="">
          <xdr:nvSpPr>
            <xdr:cNvPr id="46537" name="Scroll Bar 457" hidden="1">
              <a:extLst>
                <a:ext uri="{63B3BB69-23CF-44E3-9099-C40C66FF867C}">
                  <a14:compatExt spid="_x0000_s46537"/>
                </a:ext>
                <a:ext uri="{FF2B5EF4-FFF2-40B4-BE49-F238E27FC236}">
                  <a16:creationId xmlns:a16="http://schemas.microsoft.com/office/drawing/2014/main" id="{00000000-0008-0000-0100-0000C9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47</xdr:row>
          <xdr:rowOff>28575</xdr:rowOff>
        </xdr:from>
        <xdr:to>
          <xdr:col>9</xdr:col>
          <xdr:colOff>1123950</xdr:colOff>
          <xdr:row>47</xdr:row>
          <xdr:rowOff>133350</xdr:rowOff>
        </xdr:to>
        <xdr:sp macro="" textlink="">
          <xdr:nvSpPr>
            <xdr:cNvPr id="46538" name="Scroll Bar 458" hidden="1">
              <a:extLst>
                <a:ext uri="{63B3BB69-23CF-44E3-9099-C40C66FF867C}">
                  <a14:compatExt spid="_x0000_s46538"/>
                </a:ext>
                <a:ext uri="{FF2B5EF4-FFF2-40B4-BE49-F238E27FC236}">
                  <a16:creationId xmlns:a16="http://schemas.microsoft.com/office/drawing/2014/main" id="{00000000-0008-0000-0100-0000CA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28575</xdr:rowOff>
        </xdr:from>
        <xdr:to>
          <xdr:col>9</xdr:col>
          <xdr:colOff>1123950</xdr:colOff>
          <xdr:row>48</xdr:row>
          <xdr:rowOff>133350</xdr:rowOff>
        </xdr:to>
        <xdr:sp macro="" textlink="">
          <xdr:nvSpPr>
            <xdr:cNvPr id="46539" name="Scroll Bar 459" hidden="1">
              <a:extLst>
                <a:ext uri="{63B3BB69-23CF-44E3-9099-C40C66FF867C}">
                  <a14:compatExt spid="_x0000_s46539"/>
                </a:ext>
                <a:ext uri="{FF2B5EF4-FFF2-40B4-BE49-F238E27FC236}">
                  <a16:creationId xmlns:a16="http://schemas.microsoft.com/office/drawing/2014/main" id="{00000000-0008-0000-0100-0000CB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28575</xdr:rowOff>
        </xdr:from>
        <xdr:to>
          <xdr:col>9</xdr:col>
          <xdr:colOff>1114425</xdr:colOff>
          <xdr:row>49</xdr:row>
          <xdr:rowOff>133350</xdr:rowOff>
        </xdr:to>
        <xdr:sp macro="" textlink="">
          <xdr:nvSpPr>
            <xdr:cNvPr id="46540" name="Scroll Bar 460" hidden="1">
              <a:extLst>
                <a:ext uri="{63B3BB69-23CF-44E3-9099-C40C66FF867C}">
                  <a14:compatExt spid="_x0000_s46540"/>
                </a:ext>
                <a:ext uri="{FF2B5EF4-FFF2-40B4-BE49-F238E27FC236}">
                  <a16:creationId xmlns:a16="http://schemas.microsoft.com/office/drawing/2014/main" id="{00000000-0008-0000-0100-0000CC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28575</xdr:rowOff>
        </xdr:from>
        <xdr:to>
          <xdr:col>9</xdr:col>
          <xdr:colOff>1114425</xdr:colOff>
          <xdr:row>50</xdr:row>
          <xdr:rowOff>133350</xdr:rowOff>
        </xdr:to>
        <xdr:sp macro="" textlink="">
          <xdr:nvSpPr>
            <xdr:cNvPr id="46541" name="Scroll Bar 461" hidden="1">
              <a:extLst>
                <a:ext uri="{63B3BB69-23CF-44E3-9099-C40C66FF867C}">
                  <a14:compatExt spid="_x0000_s46541"/>
                </a:ext>
                <a:ext uri="{FF2B5EF4-FFF2-40B4-BE49-F238E27FC236}">
                  <a16:creationId xmlns:a16="http://schemas.microsoft.com/office/drawing/2014/main" id="{00000000-0008-0000-0100-0000CDB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40</xdr:row>
      <xdr:rowOff>30480</xdr:rowOff>
    </xdr:from>
    <xdr:to>
      <xdr:col>10</xdr:col>
      <xdr:colOff>685800</xdr:colOff>
      <xdr:row>61</xdr:row>
      <xdr:rowOff>95250</xdr:rowOff>
    </xdr:to>
    <xdr:grpSp>
      <xdr:nvGrpSpPr>
        <xdr:cNvPr id="50476" name="Gruppieren 13">
          <a:extLst>
            <a:ext uri="{FF2B5EF4-FFF2-40B4-BE49-F238E27FC236}">
              <a16:creationId xmlns:a16="http://schemas.microsoft.com/office/drawing/2014/main" id="{00000000-0008-0000-0200-00002CC50000}"/>
            </a:ext>
          </a:extLst>
        </xdr:cNvPr>
        <xdr:cNvGrpSpPr>
          <a:grpSpLocks/>
        </xdr:cNvGrpSpPr>
      </xdr:nvGrpSpPr>
      <xdr:grpSpPr bwMode="auto">
        <a:xfrm>
          <a:off x="5069205" y="5631180"/>
          <a:ext cx="2588895" cy="2941320"/>
          <a:chOff x="5495925" y="5690878"/>
          <a:chExt cx="2753714" cy="2971429"/>
        </a:xfrm>
      </xdr:grpSpPr>
      <xdr:cxnSp macro="">
        <xdr:nvCxnSpPr>
          <xdr:cNvPr id="11" name="Gerade Verbindung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 bwMode="auto">
          <a:xfrm>
            <a:off x="8249639" y="5690878"/>
            <a:ext cx="0" cy="18208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Gerade Verbindung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 bwMode="auto">
          <a:xfrm flipH="1">
            <a:off x="6632499" y="5872960"/>
            <a:ext cx="161714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Gerade Verbindung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 bwMode="auto">
          <a:xfrm>
            <a:off x="6632499" y="5872960"/>
            <a:ext cx="0" cy="278934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Gerade Verbindung mit Pfeil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 bwMode="auto">
          <a:xfrm flipH="1">
            <a:off x="5495925" y="8662307"/>
            <a:ext cx="1136574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47</xdr:row>
          <xdr:rowOff>28575</xdr:rowOff>
        </xdr:from>
        <xdr:to>
          <xdr:col>10</xdr:col>
          <xdr:colOff>1123950</xdr:colOff>
          <xdr:row>47</xdr:row>
          <xdr:rowOff>133350</xdr:rowOff>
        </xdr:to>
        <xdr:sp macro="" textlink="">
          <xdr:nvSpPr>
            <xdr:cNvPr id="45999" name="Scroll Bar 1967" hidden="1">
              <a:extLst>
                <a:ext uri="{63B3BB69-23CF-44E3-9099-C40C66FF867C}">
                  <a14:compatExt spid="_x0000_s45999"/>
                </a:ext>
                <a:ext uri="{FF2B5EF4-FFF2-40B4-BE49-F238E27FC236}">
                  <a16:creationId xmlns:a16="http://schemas.microsoft.com/office/drawing/2014/main" id="{00000000-0008-0000-0200-0000AF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48</xdr:row>
          <xdr:rowOff>28575</xdr:rowOff>
        </xdr:from>
        <xdr:to>
          <xdr:col>10</xdr:col>
          <xdr:colOff>1123950</xdr:colOff>
          <xdr:row>48</xdr:row>
          <xdr:rowOff>133350</xdr:rowOff>
        </xdr:to>
        <xdr:sp macro="" textlink="">
          <xdr:nvSpPr>
            <xdr:cNvPr id="46000" name="Scroll Bar 1968" hidden="1">
              <a:extLst>
                <a:ext uri="{63B3BB69-23CF-44E3-9099-C40C66FF867C}">
                  <a14:compatExt spid="_x0000_s46000"/>
                </a:ext>
                <a:ext uri="{FF2B5EF4-FFF2-40B4-BE49-F238E27FC236}">
                  <a16:creationId xmlns:a16="http://schemas.microsoft.com/office/drawing/2014/main" id="{00000000-0008-0000-0200-0000B0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28575</xdr:rowOff>
        </xdr:from>
        <xdr:to>
          <xdr:col>10</xdr:col>
          <xdr:colOff>1123950</xdr:colOff>
          <xdr:row>49</xdr:row>
          <xdr:rowOff>133350</xdr:rowOff>
        </xdr:to>
        <xdr:sp macro="" textlink="">
          <xdr:nvSpPr>
            <xdr:cNvPr id="46001" name="Scroll Bar 1969" hidden="1">
              <a:extLst>
                <a:ext uri="{63B3BB69-23CF-44E3-9099-C40C66FF867C}">
                  <a14:compatExt spid="_x0000_s46001"/>
                </a:ext>
                <a:ext uri="{FF2B5EF4-FFF2-40B4-BE49-F238E27FC236}">
                  <a16:creationId xmlns:a16="http://schemas.microsoft.com/office/drawing/2014/main" id="{00000000-0008-0000-0200-0000B1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28575</xdr:rowOff>
        </xdr:from>
        <xdr:to>
          <xdr:col>10</xdr:col>
          <xdr:colOff>1123950</xdr:colOff>
          <xdr:row>50</xdr:row>
          <xdr:rowOff>133350</xdr:rowOff>
        </xdr:to>
        <xdr:sp macro="" textlink="">
          <xdr:nvSpPr>
            <xdr:cNvPr id="46002" name="Scroll Bar 1970" hidden="1">
              <a:extLst>
                <a:ext uri="{63B3BB69-23CF-44E3-9099-C40C66FF867C}">
                  <a14:compatExt spid="_x0000_s46002"/>
                </a:ext>
                <a:ext uri="{FF2B5EF4-FFF2-40B4-BE49-F238E27FC236}">
                  <a16:creationId xmlns:a16="http://schemas.microsoft.com/office/drawing/2014/main" id="{00000000-0008-0000-0200-0000B2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52</xdr:row>
          <xdr:rowOff>28575</xdr:rowOff>
        </xdr:from>
        <xdr:to>
          <xdr:col>10</xdr:col>
          <xdr:colOff>1123950</xdr:colOff>
          <xdr:row>52</xdr:row>
          <xdr:rowOff>133350</xdr:rowOff>
        </xdr:to>
        <xdr:sp macro="" textlink="">
          <xdr:nvSpPr>
            <xdr:cNvPr id="46003" name="Scroll Bar 1971" hidden="1">
              <a:extLst>
                <a:ext uri="{63B3BB69-23CF-44E3-9099-C40C66FF867C}">
                  <a14:compatExt spid="_x0000_s46003"/>
                </a:ext>
                <a:ext uri="{FF2B5EF4-FFF2-40B4-BE49-F238E27FC236}">
                  <a16:creationId xmlns:a16="http://schemas.microsoft.com/office/drawing/2014/main" id="{00000000-0008-0000-0200-0000B3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28575</xdr:rowOff>
        </xdr:from>
        <xdr:to>
          <xdr:col>10</xdr:col>
          <xdr:colOff>1123950</xdr:colOff>
          <xdr:row>53</xdr:row>
          <xdr:rowOff>133350</xdr:rowOff>
        </xdr:to>
        <xdr:sp macro="" textlink="">
          <xdr:nvSpPr>
            <xdr:cNvPr id="46004" name="Scroll Bar 1972" hidden="1">
              <a:extLst>
                <a:ext uri="{63B3BB69-23CF-44E3-9099-C40C66FF867C}">
                  <a14:compatExt spid="_x0000_s46004"/>
                </a:ext>
                <a:ext uri="{FF2B5EF4-FFF2-40B4-BE49-F238E27FC236}">
                  <a16:creationId xmlns:a16="http://schemas.microsoft.com/office/drawing/2014/main" id="{00000000-0008-0000-0200-0000B4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54</xdr:row>
          <xdr:rowOff>28575</xdr:rowOff>
        </xdr:from>
        <xdr:to>
          <xdr:col>10</xdr:col>
          <xdr:colOff>1114425</xdr:colOff>
          <xdr:row>54</xdr:row>
          <xdr:rowOff>133350</xdr:rowOff>
        </xdr:to>
        <xdr:sp macro="" textlink="">
          <xdr:nvSpPr>
            <xdr:cNvPr id="46005" name="Scroll Bar 1973" hidden="1">
              <a:extLst>
                <a:ext uri="{63B3BB69-23CF-44E3-9099-C40C66FF867C}">
                  <a14:compatExt spid="_x0000_s46005"/>
                </a:ext>
                <a:ext uri="{FF2B5EF4-FFF2-40B4-BE49-F238E27FC236}">
                  <a16:creationId xmlns:a16="http://schemas.microsoft.com/office/drawing/2014/main" id="{00000000-0008-0000-0200-0000B5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55</xdr:row>
          <xdr:rowOff>28575</xdr:rowOff>
        </xdr:from>
        <xdr:to>
          <xdr:col>10</xdr:col>
          <xdr:colOff>1114425</xdr:colOff>
          <xdr:row>55</xdr:row>
          <xdr:rowOff>133350</xdr:rowOff>
        </xdr:to>
        <xdr:sp macro="" textlink="">
          <xdr:nvSpPr>
            <xdr:cNvPr id="46006" name="Scroll Bar 1974" hidden="1">
              <a:extLst>
                <a:ext uri="{63B3BB69-23CF-44E3-9099-C40C66FF867C}">
                  <a14:compatExt spid="_x0000_s46006"/>
                </a:ext>
                <a:ext uri="{FF2B5EF4-FFF2-40B4-BE49-F238E27FC236}">
                  <a16:creationId xmlns:a16="http://schemas.microsoft.com/office/drawing/2014/main" id="{00000000-0008-0000-0200-0000B6B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960120</xdr:colOff>
      <xdr:row>8</xdr:row>
      <xdr:rowOff>83820</xdr:rowOff>
    </xdr:from>
    <xdr:to>
      <xdr:col>8</xdr:col>
      <xdr:colOff>7620</xdr:colOff>
      <xdr:row>20</xdr:row>
      <xdr:rowOff>83820</xdr:rowOff>
    </xdr:to>
    <xdr:grpSp>
      <xdr:nvGrpSpPr>
        <xdr:cNvPr id="51211" name="Gruppieren 19">
          <a:extLst>
            <a:ext uri="{FF2B5EF4-FFF2-40B4-BE49-F238E27FC236}">
              <a16:creationId xmlns:a16="http://schemas.microsoft.com/office/drawing/2014/main" id="{00000000-0008-0000-0300-00000BC80000}"/>
            </a:ext>
          </a:extLst>
        </xdr:cNvPr>
        <xdr:cNvGrpSpPr>
          <a:grpSpLocks/>
        </xdr:cNvGrpSpPr>
      </xdr:nvGrpSpPr>
      <xdr:grpSpPr bwMode="auto">
        <a:xfrm>
          <a:off x="4766393" y="1218537"/>
          <a:ext cx="161097" cy="1822174"/>
          <a:chOff x="5416825" y="1956764"/>
          <a:chExt cx="653661" cy="1512612"/>
        </a:xfrm>
      </xdr:grpSpPr>
      <xdr:cxnSp macro="">
        <xdr:nvCxnSpPr>
          <xdr:cNvPr id="3" name="Gewinkelte Verbindung 5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 bwMode="auto">
          <a:xfrm>
            <a:off x="5450062" y="1956764"/>
            <a:ext cx="620424" cy="635551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6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 bwMode="auto">
          <a:xfrm flipV="1">
            <a:off x="5416825" y="2601849"/>
            <a:ext cx="653661" cy="867527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46</xdr:row>
          <xdr:rowOff>28575</xdr:rowOff>
        </xdr:from>
        <xdr:to>
          <xdr:col>11</xdr:col>
          <xdr:colOff>742950</xdr:colOff>
          <xdr:row>46</xdr:row>
          <xdr:rowOff>133350</xdr:rowOff>
        </xdr:to>
        <xdr:sp macro="" textlink="">
          <xdr:nvSpPr>
            <xdr:cNvPr id="47771" name="Scroll Bar 1691" hidden="1">
              <a:extLst>
                <a:ext uri="{63B3BB69-23CF-44E3-9099-C40C66FF867C}">
                  <a14:compatExt spid="_x0000_s47771"/>
                </a:ext>
                <a:ext uri="{FF2B5EF4-FFF2-40B4-BE49-F238E27FC236}">
                  <a16:creationId xmlns:a16="http://schemas.microsoft.com/office/drawing/2014/main" id="{00000000-0008-0000-0300-00009B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47</xdr:row>
          <xdr:rowOff>28575</xdr:rowOff>
        </xdr:from>
        <xdr:to>
          <xdr:col>11</xdr:col>
          <xdr:colOff>742950</xdr:colOff>
          <xdr:row>47</xdr:row>
          <xdr:rowOff>133350</xdr:rowOff>
        </xdr:to>
        <xdr:sp macro="" textlink="">
          <xdr:nvSpPr>
            <xdr:cNvPr id="47772" name="Scroll Bar 1692" hidden="1">
              <a:extLst>
                <a:ext uri="{63B3BB69-23CF-44E3-9099-C40C66FF867C}">
                  <a14:compatExt spid="_x0000_s47772"/>
                </a:ext>
                <a:ext uri="{FF2B5EF4-FFF2-40B4-BE49-F238E27FC236}">
                  <a16:creationId xmlns:a16="http://schemas.microsoft.com/office/drawing/2014/main" id="{00000000-0008-0000-0300-00009C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28575</xdr:rowOff>
        </xdr:from>
        <xdr:to>
          <xdr:col>11</xdr:col>
          <xdr:colOff>742950</xdr:colOff>
          <xdr:row>48</xdr:row>
          <xdr:rowOff>133350</xdr:rowOff>
        </xdr:to>
        <xdr:sp macro="" textlink="">
          <xdr:nvSpPr>
            <xdr:cNvPr id="47773" name="Scroll Bar 1693" hidden="1">
              <a:extLst>
                <a:ext uri="{63B3BB69-23CF-44E3-9099-C40C66FF867C}">
                  <a14:compatExt spid="_x0000_s47773"/>
                </a:ext>
                <a:ext uri="{FF2B5EF4-FFF2-40B4-BE49-F238E27FC236}">
                  <a16:creationId xmlns:a16="http://schemas.microsoft.com/office/drawing/2014/main" id="{00000000-0008-0000-0300-00009D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28575</xdr:rowOff>
        </xdr:from>
        <xdr:to>
          <xdr:col>11</xdr:col>
          <xdr:colOff>742950</xdr:colOff>
          <xdr:row>49</xdr:row>
          <xdr:rowOff>133350</xdr:rowOff>
        </xdr:to>
        <xdr:sp macro="" textlink="">
          <xdr:nvSpPr>
            <xdr:cNvPr id="47774" name="Scroll Bar 1694" hidden="1">
              <a:extLst>
                <a:ext uri="{63B3BB69-23CF-44E3-9099-C40C66FF867C}">
                  <a14:compatExt spid="_x0000_s47774"/>
                </a:ext>
                <a:ext uri="{FF2B5EF4-FFF2-40B4-BE49-F238E27FC236}">
                  <a16:creationId xmlns:a16="http://schemas.microsoft.com/office/drawing/2014/main" id="{00000000-0008-0000-0300-00009E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28575</xdr:rowOff>
        </xdr:from>
        <xdr:to>
          <xdr:col>11</xdr:col>
          <xdr:colOff>742950</xdr:colOff>
          <xdr:row>51</xdr:row>
          <xdr:rowOff>133350</xdr:rowOff>
        </xdr:to>
        <xdr:sp macro="" textlink="">
          <xdr:nvSpPr>
            <xdr:cNvPr id="47775" name="Scroll Bar 1695" hidden="1">
              <a:extLst>
                <a:ext uri="{63B3BB69-23CF-44E3-9099-C40C66FF867C}">
                  <a14:compatExt spid="_x0000_s47775"/>
                </a:ext>
                <a:ext uri="{FF2B5EF4-FFF2-40B4-BE49-F238E27FC236}">
                  <a16:creationId xmlns:a16="http://schemas.microsoft.com/office/drawing/2014/main" id="{00000000-0008-0000-0300-00009F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52</xdr:row>
          <xdr:rowOff>28575</xdr:rowOff>
        </xdr:from>
        <xdr:to>
          <xdr:col>11</xdr:col>
          <xdr:colOff>742950</xdr:colOff>
          <xdr:row>52</xdr:row>
          <xdr:rowOff>133350</xdr:rowOff>
        </xdr:to>
        <xdr:sp macro="" textlink="">
          <xdr:nvSpPr>
            <xdr:cNvPr id="47776" name="Scroll Bar 1696" hidden="1">
              <a:extLst>
                <a:ext uri="{63B3BB69-23CF-44E3-9099-C40C66FF867C}">
                  <a14:compatExt spid="_x0000_s47776"/>
                </a:ext>
                <a:ext uri="{FF2B5EF4-FFF2-40B4-BE49-F238E27FC236}">
                  <a16:creationId xmlns:a16="http://schemas.microsoft.com/office/drawing/2014/main" id="{00000000-0008-0000-0300-0000A0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28575</xdr:rowOff>
        </xdr:from>
        <xdr:to>
          <xdr:col>11</xdr:col>
          <xdr:colOff>742950</xdr:colOff>
          <xdr:row>53</xdr:row>
          <xdr:rowOff>133350</xdr:rowOff>
        </xdr:to>
        <xdr:sp macro="" textlink="">
          <xdr:nvSpPr>
            <xdr:cNvPr id="47777" name="Scroll Bar 1697" hidden="1">
              <a:extLst>
                <a:ext uri="{63B3BB69-23CF-44E3-9099-C40C66FF867C}">
                  <a14:compatExt spid="_x0000_s47777"/>
                </a:ext>
                <a:ext uri="{FF2B5EF4-FFF2-40B4-BE49-F238E27FC236}">
                  <a16:creationId xmlns:a16="http://schemas.microsoft.com/office/drawing/2014/main" id="{00000000-0008-0000-0300-0000A1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28575</xdr:rowOff>
        </xdr:from>
        <xdr:to>
          <xdr:col>11</xdr:col>
          <xdr:colOff>742950</xdr:colOff>
          <xdr:row>54</xdr:row>
          <xdr:rowOff>133350</xdr:rowOff>
        </xdr:to>
        <xdr:sp macro="" textlink="">
          <xdr:nvSpPr>
            <xdr:cNvPr id="47778" name="Scroll Bar 1698" hidden="1">
              <a:extLst>
                <a:ext uri="{63B3BB69-23CF-44E3-9099-C40C66FF867C}">
                  <a14:compatExt spid="_x0000_s47778"/>
                </a:ext>
                <a:ext uri="{FF2B5EF4-FFF2-40B4-BE49-F238E27FC236}">
                  <a16:creationId xmlns:a16="http://schemas.microsoft.com/office/drawing/2014/main" id="{00000000-0008-0000-0300-0000A2B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104849</xdr:colOff>
      <xdr:row>40</xdr:row>
      <xdr:rowOff>27293</xdr:rowOff>
    </xdr:from>
    <xdr:to>
      <xdr:col>11</xdr:col>
      <xdr:colOff>516029</xdr:colOff>
      <xdr:row>60</xdr:row>
      <xdr:rowOff>87507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4875632" y="5684315"/>
          <a:ext cx="2920810" cy="2876301"/>
          <a:chOff x="5287763" y="5709448"/>
          <a:chExt cx="2946800" cy="2865162"/>
        </a:xfrm>
      </xdr:grpSpPr>
      <xdr:cxnSp macro="">
        <xdr:nvCxnSpPr>
          <xdr:cNvPr id="6" name="Gerade Verbindung 8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 bwMode="auto">
          <a:xfrm>
            <a:off x="8233544" y="5709448"/>
            <a:ext cx="0" cy="7686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 Verbindung 1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 bwMode="auto">
          <a:xfrm>
            <a:off x="6584824" y="5787071"/>
            <a:ext cx="0" cy="278753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 Verbindung mit Pfeil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 bwMode="auto">
          <a:xfrm flipH="1">
            <a:off x="5287763" y="8574610"/>
            <a:ext cx="1297990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 bwMode="auto">
          <a:xfrm>
            <a:off x="6584074" y="5788215"/>
            <a:ext cx="1650489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17838</xdr:colOff>
      <xdr:row>37</xdr:row>
      <xdr:rowOff>30306</xdr:rowOff>
    </xdr:from>
    <xdr:to>
      <xdr:col>10</xdr:col>
      <xdr:colOff>762000</xdr:colOff>
      <xdr:row>58</xdr:row>
      <xdr:rowOff>77695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027988" y="5145231"/>
          <a:ext cx="2372937" cy="2885839"/>
          <a:chOff x="5442758" y="5139170"/>
          <a:chExt cx="2510617" cy="2896230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 bwMode="auto">
          <a:xfrm>
            <a:off x="7952075" y="5139170"/>
            <a:ext cx="0" cy="18617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 bwMode="auto">
          <a:xfrm flipH="1">
            <a:off x="6452928" y="5324819"/>
            <a:ext cx="1500447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 bwMode="auto">
          <a:xfrm>
            <a:off x="6452913" y="5325341"/>
            <a:ext cx="0" cy="271005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 bwMode="auto">
          <a:xfrm flipH="1">
            <a:off x="5442758" y="8035400"/>
            <a:ext cx="101015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44</xdr:row>
          <xdr:rowOff>28575</xdr:rowOff>
        </xdr:from>
        <xdr:to>
          <xdr:col>10</xdr:col>
          <xdr:colOff>1123950</xdr:colOff>
          <xdr:row>44</xdr:row>
          <xdr:rowOff>133350</xdr:rowOff>
        </xdr:to>
        <xdr:sp macro="" textlink="">
          <xdr:nvSpPr>
            <xdr:cNvPr id="48345" name="Scroll Bar 1241" hidden="1">
              <a:extLst>
                <a:ext uri="{63B3BB69-23CF-44E3-9099-C40C66FF867C}">
                  <a14:compatExt spid="_x0000_s48345"/>
                </a:ext>
                <a:ext uri="{FF2B5EF4-FFF2-40B4-BE49-F238E27FC236}">
                  <a16:creationId xmlns:a16="http://schemas.microsoft.com/office/drawing/2014/main" id="{00000000-0008-0000-0400-0000D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28575</xdr:rowOff>
        </xdr:from>
        <xdr:to>
          <xdr:col>10</xdr:col>
          <xdr:colOff>1114425</xdr:colOff>
          <xdr:row>45</xdr:row>
          <xdr:rowOff>133350</xdr:rowOff>
        </xdr:to>
        <xdr:sp macro="" textlink="">
          <xdr:nvSpPr>
            <xdr:cNvPr id="48346" name="Scroll Bar 1242" hidden="1">
              <a:extLst>
                <a:ext uri="{63B3BB69-23CF-44E3-9099-C40C66FF867C}">
                  <a14:compatExt spid="_x0000_s48346"/>
                </a:ext>
                <a:ext uri="{FF2B5EF4-FFF2-40B4-BE49-F238E27FC236}">
                  <a16:creationId xmlns:a16="http://schemas.microsoft.com/office/drawing/2014/main" id="{00000000-0008-0000-0400-0000D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28575</xdr:rowOff>
        </xdr:from>
        <xdr:to>
          <xdr:col>10</xdr:col>
          <xdr:colOff>1104900</xdr:colOff>
          <xdr:row>46</xdr:row>
          <xdr:rowOff>133350</xdr:rowOff>
        </xdr:to>
        <xdr:sp macro="" textlink="">
          <xdr:nvSpPr>
            <xdr:cNvPr id="48347" name="Scroll Bar 1243" hidden="1">
              <a:extLst>
                <a:ext uri="{63B3BB69-23CF-44E3-9099-C40C66FF867C}">
                  <a14:compatExt spid="_x0000_s48347"/>
                </a:ext>
                <a:ext uri="{FF2B5EF4-FFF2-40B4-BE49-F238E27FC236}">
                  <a16:creationId xmlns:a16="http://schemas.microsoft.com/office/drawing/2014/main" id="{00000000-0008-0000-0400-0000D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47</xdr:row>
          <xdr:rowOff>28575</xdr:rowOff>
        </xdr:from>
        <xdr:to>
          <xdr:col>10</xdr:col>
          <xdr:colOff>1114425</xdr:colOff>
          <xdr:row>47</xdr:row>
          <xdr:rowOff>133350</xdr:rowOff>
        </xdr:to>
        <xdr:sp macro="" textlink="">
          <xdr:nvSpPr>
            <xdr:cNvPr id="48348" name="Scroll Bar 1244" hidden="1">
              <a:extLst>
                <a:ext uri="{63B3BB69-23CF-44E3-9099-C40C66FF867C}">
                  <a14:compatExt spid="_x0000_s48348"/>
                </a:ext>
                <a:ext uri="{FF2B5EF4-FFF2-40B4-BE49-F238E27FC236}">
                  <a16:creationId xmlns:a16="http://schemas.microsoft.com/office/drawing/2014/main" id="{00000000-0008-0000-0400-0000D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28575</xdr:rowOff>
        </xdr:from>
        <xdr:to>
          <xdr:col>10</xdr:col>
          <xdr:colOff>1114425</xdr:colOff>
          <xdr:row>49</xdr:row>
          <xdr:rowOff>133350</xdr:rowOff>
        </xdr:to>
        <xdr:sp macro="" textlink="">
          <xdr:nvSpPr>
            <xdr:cNvPr id="48349" name="Scroll Bar 1245" hidden="1">
              <a:extLst>
                <a:ext uri="{63B3BB69-23CF-44E3-9099-C40C66FF867C}">
                  <a14:compatExt spid="_x0000_s48349"/>
                </a:ext>
                <a:ext uri="{FF2B5EF4-FFF2-40B4-BE49-F238E27FC236}">
                  <a16:creationId xmlns:a16="http://schemas.microsoft.com/office/drawing/2014/main" id="{00000000-0008-0000-0400-0000D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28575</xdr:rowOff>
        </xdr:from>
        <xdr:to>
          <xdr:col>10</xdr:col>
          <xdr:colOff>1123950</xdr:colOff>
          <xdr:row>50</xdr:row>
          <xdr:rowOff>133350</xdr:rowOff>
        </xdr:to>
        <xdr:sp macro="" textlink="">
          <xdr:nvSpPr>
            <xdr:cNvPr id="48350" name="Scroll Bar 1246" hidden="1">
              <a:extLst>
                <a:ext uri="{63B3BB69-23CF-44E3-9099-C40C66FF867C}">
                  <a14:compatExt spid="_x0000_s48350"/>
                </a:ext>
                <a:ext uri="{FF2B5EF4-FFF2-40B4-BE49-F238E27FC236}">
                  <a16:creationId xmlns:a16="http://schemas.microsoft.com/office/drawing/2014/main" id="{00000000-0008-0000-0400-0000D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51</xdr:row>
          <xdr:rowOff>28575</xdr:rowOff>
        </xdr:from>
        <xdr:to>
          <xdr:col>10</xdr:col>
          <xdr:colOff>1123950</xdr:colOff>
          <xdr:row>51</xdr:row>
          <xdr:rowOff>133350</xdr:rowOff>
        </xdr:to>
        <xdr:sp macro="" textlink="">
          <xdr:nvSpPr>
            <xdr:cNvPr id="48351" name="Scroll Bar 1247" hidden="1">
              <a:extLst>
                <a:ext uri="{63B3BB69-23CF-44E3-9099-C40C66FF867C}">
                  <a14:compatExt spid="_x0000_s48351"/>
                </a:ext>
                <a:ext uri="{FF2B5EF4-FFF2-40B4-BE49-F238E27FC236}">
                  <a16:creationId xmlns:a16="http://schemas.microsoft.com/office/drawing/2014/main" id="{00000000-0008-0000-0400-0000D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52</xdr:row>
          <xdr:rowOff>28575</xdr:rowOff>
        </xdr:from>
        <xdr:to>
          <xdr:col>10</xdr:col>
          <xdr:colOff>1114425</xdr:colOff>
          <xdr:row>52</xdr:row>
          <xdr:rowOff>133350</xdr:rowOff>
        </xdr:to>
        <xdr:sp macro="" textlink="">
          <xdr:nvSpPr>
            <xdr:cNvPr id="48352" name="Scroll Bar 1248" hidden="1">
              <a:extLst>
                <a:ext uri="{63B3BB69-23CF-44E3-9099-C40C66FF867C}">
                  <a14:compatExt spid="_x0000_s48352"/>
                </a:ext>
                <a:ext uri="{FF2B5EF4-FFF2-40B4-BE49-F238E27FC236}">
                  <a16:creationId xmlns:a16="http://schemas.microsoft.com/office/drawing/2014/main" id="{00000000-0008-0000-0400-0000E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28734</xdr:colOff>
      <xdr:row>37</xdr:row>
      <xdr:rowOff>27878</xdr:rowOff>
    </xdr:from>
    <xdr:to>
      <xdr:col>10</xdr:col>
      <xdr:colOff>773198</xdr:colOff>
      <xdr:row>57</xdr:row>
      <xdr:rowOff>87444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pSpPr/>
      </xdr:nvGrpSpPr>
      <xdr:grpSpPr>
        <a:xfrm>
          <a:off x="5015352" y="5081731"/>
          <a:ext cx="2302081" cy="2704154"/>
          <a:chOff x="5417879" y="5116233"/>
          <a:chExt cx="2418858" cy="2746619"/>
        </a:xfrm>
      </xdr:grpSpPr>
      <xdr:cxnSp macro="">
        <xdr:nvCxnSpPr>
          <xdr:cNvPr id="3" name="Gerade Verbindung 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 bwMode="auto">
          <a:xfrm>
            <a:off x="7833301" y="5116233"/>
            <a:ext cx="0" cy="188265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 bwMode="auto">
          <a:xfrm flipH="1">
            <a:off x="6380405" y="5306808"/>
            <a:ext cx="1456332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 bwMode="auto">
          <a:xfrm>
            <a:off x="6379473" y="5304540"/>
            <a:ext cx="0" cy="255831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 bwMode="auto">
          <a:xfrm flipH="1">
            <a:off x="5417879" y="7860853"/>
            <a:ext cx="960621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44</xdr:row>
          <xdr:rowOff>28575</xdr:rowOff>
        </xdr:from>
        <xdr:to>
          <xdr:col>10</xdr:col>
          <xdr:colOff>1123950</xdr:colOff>
          <xdr:row>44</xdr:row>
          <xdr:rowOff>133350</xdr:rowOff>
        </xdr:to>
        <xdr:sp macro="" textlink="">
          <xdr:nvSpPr>
            <xdr:cNvPr id="49406" name="Scroll Bar 1278" hidden="1">
              <a:extLst>
                <a:ext uri="{63B3BB69-23CF-44E3-9099-C40C66FF867C}">
                  <a14:compatExt spid="_x0000_s49406"/>
                </a:ext>
                <a:ext uri="{FF2B5EF4-FFF2-40B4-BE49-F238E27FC236}">
                  <a16:creationId xmlns:a16="http://schemas.microsoft.com/office/drawing/2014/main" id="{00000000-0008-0000-0500-0000F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28575</xdr:rowOff>
        </xdr:from>
        <xdr:to>
          <xdr:col>10</xdr:col>
          <xdr:colOff>1114425</xdr:colOff>
          <xdr:row>45</xdr:row>
          <xdr:rowOff>133350</xdr:rowOff>
        </xdr:to>
        <xdr:sp macro="" textlink="">
          <xdr:nvSpPr>
            <xdr:cNvPr id="49407" name="Scroll Bar 1279" hidden="1">
              <a:extLst>
                <a:ext uri="{63B3BB69-23CF-44E3-9099-C40C66FF867C}">
                  <a14:compatExt spid="_x0000_s49407"/>
                </a:ext>
                <a:ext uri="{FF2B5EF4-FFF2-40B4-BE49-F238E27FC236}">
                  <a16:creationId xmlns:a16="http://schemas.microsoft.com/office/drawing/2014/main" id="{00000000-0008-0000-0500-0000F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28575</xdr:rowOff>
        </xdr:from>
        <xdr:to>
          <xdr:col>10</xdr:col>
          <xdr:colOff>1104900</xdr:colOff>
          <xdr:row>46</xdr:row>
          <xdr:rowOff>133350</xdr:rowOff>
        </xdr:to>
        <xdr:sp macro="" textlink="">
          <xdr:nvSpPr>
            <xdr:cNvPr id="49408" name="Scroll Bar 1280" hidden="1">
              <a:extLst>
                <a:ext uri="{63B3BB69-23CF-44E3-9099-C40C66FF867C}">
                  <a14:compatExt spid="_x0000_s49408"/>
                </a:ext>
                <a:ext uri="{FF2B5EF4-FFF2-40B4-BE49-F238E27FC236}">
                  <a16:creationId xmlns:a16="http://schemas.microsoft.com/office/drawing/2014/main" id="{00000000-0008-0000-0500-000000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47</xdr:row>
          <xdr:rowOff>28575</xdr:rowOff>
        </xdr:from>
        <xdr:to>
          <xdr:col>10</xdr:col>
          <xdr:colOff>1114425</xdr:colOff>
          <xdr:row>47</xdr:row>
          <xdr:rowOff>133350</xdr:rowOff>
        </xdr:to>
        <xdr:sp macro="" textlink="">
          <xdr:nvSpPr>
            <xdr:cNvPr id="49409" name="Scroll Bar 1281" hidden="1">
              <a:extLst>
                <a:ext uri="{63B3BB69-23CF-44E3-9099-C40C66FF867C}">
                  <a14:compatExt spid="_x0000_s49409"/>
                </a:ext>
                <a:ext uri="{FF2B5EF4-FFF2-40B4-BE49-F238E27FC236}">
                  <a16:creationId xmlns:a16="http://schemas.microsoft.com/office/drawing/2014/main" id="{00000000-0008-0000-0500-000001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28575</xdr:rowOff>
        </xdr:from>
        <xdr:to>
          <xdr:col>10</xdr:col>
          <xdr:colOff>1114425</xdr:colOff>
          <xdr:row>49</xdr:row>
          <xdr:rowOff>133350</xdr:rowOff>
        </xdr:to>
        <xdr:sp macro="" textlink="">
          <xdr:nvSpPr>
            <xdr:cNvPr id="49410" name="Scroll Bar 1282" hidden="1">
              <a:extLst>
                <a:ext uri="{63B3BB69-23CF-44E3-9099-C40C66FF867C}">
                  <a14:compatExt spid="_x0000_s49410"/>
                </a:ext>
                <a:ext uri="{FF2B5EF4-FFF2-40B4-BE49-F238E27FC236}">
                  <a16:creationId xmlns:a16="http://schemas.microsoft.com/office/drawing/2014/main" id="{00000000-0008-0000-0500-000002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50</xdr:row>
          <xdr:rowOff>28575</xdr:rowOff>
        </xdr:from>
        <xdr:to>
          <xdr:col>10</xdr:col>
          <xdr:colOff>1123950</xdr:colOff>
          <xdr:row>50</xdr:row>
          <xdr:rowOff>133350</xdr:rowOff>
        </xdr:to>
        <xdr:sp macro="" textlink="">
          <xdr:nvSpPr>
            <xdr:cNvPr id="49411" name="Scroll Bar 1283" hidden="1">
              <a:extLst>
                <a:ext uri="{63B3BB69-23CF-44E3-9099-C40C66FF867C}">
                  <a14:compatExt spid="_x0000_s49411"/>
                </a:ext>
                <a:ext uri="{FF2B5EF4-FFF2-40B4-BE49-F238E27FC236}">
                  <a16:creationId xmlns:a16="http://schemas.microsoft.com/office/drawing/2014/main" id="{00000000-0008-0000-0500-000003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51</xdr:row>
          <xdr:rowOff>28575</xdr:rowOff>
        </xdr:from>
        <xdr:to>
          <xdr:col>10</xdr:col>
          <xdr:colOff>1123950</xdr:colOff>
          <xdr:row>51</xdr:row>
          <xdr:rowOff>133350</xdr:rowOff>
        </xdr:to>
        <xdr:sp macro="" textlink="">
          <xdr:nvSpPr>
            <xdr:cNvPr id="49412" name="Scroll Bar 1284" hidden="1">
              <a:extLst>
                <a:ext uri="{63B3BB69-23CF-44E3-9099-C40C66FF867C}">
                  <a14:compatExt spid="_x0000_s49412"/>
                </a:ext>
                <a:ext uri="{FF2B5EF4-FFF2-40B4-BE49-F238E27FC236}">
                  <a16:creationId xmlns:a16="http://schemas.microsoft.com/office/drawing/2014/main" id="{00000000-0008-0000-0500-000004C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pageSetUpPr fitToPage="1"/>
  </sheetPr>
  <dimension ref="A1:X88"/>
  <sheetViews>
    <sheetView showGridLines="0" tabSelected="1" zoomScale="85" zoomScaleNormal="85" workbookViewId="0">
      <selection activeCell="K7" sqref="K7"/>
    </sheetView>
  </sheetViews>
  <sheetFormatPr baseColWidth="10" defaultColWidth="11.5703125" defaultRowHeight="15"/>
  <cols>
    <col min="1" max="1" width="2.28515625" style="7" customWidth="1"/>
    <col min="2" max="2" width="3.28515625" style="7" customWidth="1"/>
    <col min="3" max="3" width="32.7109375" style="1" customWidth="1"/>
    <col min="4" max="4" width="6.28515625" style="1" customWidth="1"/>
    <col min="5" max="5" width="8.28515625" style="1" customWidth="1"/>
    <col min="6" max="6" width="14.7109375" style="1" customWidth="1"/>
    <col min="7" max="7" width="6.7109375" style="1" customWidth="1"/>
    <col min="8" max="8" width="0.85546875" style="1" customWidth="1"/>
    <col min="9" max="9" width="10.140625" style="1" bestFit="1" customWidth="1"/>
    <col min="10" max="10" width="1.7109375" style="1" customWidth="1"/>
    <col min="11" max="11" width="16.28515625" style="9" bestFit="1" customWidth="1"/>
    <col min="12" max="12" width="3.5703125" customWidth="1"/>
    <col min="13" max="13" width="6.5703125" customWidth="1"/>
    <col min="14" max="14" width="6.5703125" style="1" customWidth="1"/>
    <col min="15" max="22" width="4.5703125" style="1" customWidth="1"/>
    <col min="23" max="16384" width="11.5703125" style="1"/>
  </cols>
  <sheetData>
    <row r="1" spans="1:24" ht="5.0999999999999996" customHeight="1">
      <c r="K1" s="8"/>
      <c r="L1" s="9"/>
      <c r="M1" s="1"/>
    </row>
    <row r="2" spans="1:24" s="39" customFormat="1" ht="35.1" customHeight="1">
      <c r="A2" s="111" t="s">
        <v>74</v>
      </c>
      <c r="B2" s="7"/>
      <c r="F2" s="40"/>
      <c r="G2" s="40"/>
      <c r="H2" s="40"/>
      <c r="I2" s="40"/>
      <c r="J2" s="40"/>
      <c r="K2" s="45"/>
      <c r="L2" s="45"/>
      <c r="M2" s="299" t="s">
        <v>135</v>
      </c>
      <c r="N2" s="300"/>
      <c r="O2" s="300"/>
      <c r="P2" s="300"/>
      <c r="Q2" s="300"/>
      <c r="R2" s="300"/>
      <c r="S2" s="321"/>
      <c r="T2" s="321"/>
      <c r="U2" s="321"/>
      <c r="V2" s="323"/>
      <c r="X2" s="459" t="s">
        <v>267</v>
      </c>
    </row>
    <row r="3" spans="1:24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2"/>
      <c r="M3" s="473" t="s">
        <v>136</v>
      </c>
      <c r="N3" s="474"/>
      <c r="O3" s="475" t="s">
        <v>228</v>
      </c>
      <c r="P3" s="475"/>
      <c r="Q3" s="475"/>
      <c r="R3" s="475"/>
      <c r="S3" s="475"/>
      <c r="T3" s="475"/>
      <c r="U3" s="475"/>
      <c r="V3" s="289"/>
    </row>
    <row r="4" spans="1:24" s="10" customFormat="1" ht="6" customHeight="1">
      <c r="L4" s="2"/>
      <c r="M4" s="473"/>
      <c r="N4" s="474"/>
      <c r="O4" s="475"/>
      <c r="P4" s="475"/>
      <c r="Q4" s="475"/>
      <c r="R4" s="475"/>
      <c r="S4" s="475"/>
      <c r="T4" s="475"/>
      <c r="U4" s="475"/>
      <c r="V4" s="289"/>
    </row>
    <row r="5" spans="1:24" s="10" customFormat="1" ht="12.95" customHeight="1">
      <c r="I5" s="146" t="s">
        <v>63</v>
      </c>
      <c r="J5" s="146"/>
      <c r="K5" s="147" t="s">
        <v>49</v>
      </c>
      <c r="L5" s="32"/>
      <c r="M5" s="473" t="s">
        <v>146</v>
      </c>
      <c r="N5" s="474"/>
      <c r="O5" s="477" t="s">
        <v>215</v>
      </c>
      <c r="P5" s="477"/>
      <c r="Q5" s="477"/>
      <c r="R5" s="477"/>
      <c r="S5" s="477"/>
      <c r="T5" s="477"/>
      <c r="U5" s="477"/>
      <c r="V5" s="289"/>
    </row>
    <row r="6" spans="1:24" s="10" customFormat="1" ht="6" customHeight="1">
      <c r="K6" s="70"/>
      <c r="L6" s="2"/>
      <c r="M6" s="473"/>
      <c r="N6" s="474"/>
      <c r="O6" s="477"/>
      <c r="P6" s="477"/>
      <c r="Q6" s="477"/>
      <c r="R6" s="477"/>
      <c r="S6" s="477"/>
      <c r="T6" s="477"/>
      <c r="U6" s="477"/>
      <c r="V6" s="289"/>
    </row>
    <row r="7" spans="1:24" s="11" customFormat="1" ht="12.95" customHeight="1">
      <c r="A7" s="78">
        <v>1</v>
      </c>
      <c r="B7" s="79"/>
      <c r="C7" s="80" t="s">
        <v>0</v>
      </c>
      <c r="D7" s="80"/>
      <c r="E7" s="80"/>
      <c r="F7" s="81"/>
      <c r="G7" s="81"/>
      <c r="H7" s="81"/>
      <c r="I7" s="228">
        <f>K7/$K$38</f>
        <v>1.4E-3</v>
      </c>
      <c r="J7" s="81"/>
      <c r="K7" s="159">
        <v>50000</v>
      </c>
      <c r="L7" s="36"/>
      <c r="M7" s="473" t="s">
        <v>137</v>
      </c>
      <c r="N7" s="474"/>
      <c r="O7" s="476" t="s">
        <v>143</v>
      </c>
      <c r="P7" s="476"/>
      <c r="Q7" s="476"/>
      <c r="R7" s="476"/>
      <c r="S7" s="476"/>
      <c r="T7" s="476"/>
      <c r="U7" s="476"/>
      <c r="V7" s="290"/>
    </row>
    <row r="8" spans="1:24" ht="6.95" customHeight="1">
      <c r="A8" s="4"/>
      <c r="B8" s="6"/>
      <c r="F8" s="71"/>
      <c r="G8" s="71"/>
      <c r="H8" s="71"/>
      <c r="I8" s="8"/>
      <c r="J8" s="71"/>
      <c r="K8" s="160"/>
      <c r="L8" s="46"/>
      <c r="M8" s="473"/>
      <c r="N8" s="474"/>
      <c r="O8" s="476"/>
      <c r="P8" s="476"/>
      <c r="Q8" s="476"/>
      <c r="R8" s="476"/>
      <c r="S8" s="476"/>
      <c r="T8" s="476"/>
      <c r="U8" s="476"/>
      <c r="V8" s="291"/>
    </row>
    <row r="9" spans="1:24" s="11" customFormat="1" ht="12.95" customHeight="1">
      <c r="A9" s="78">
        <v>2</v>
      </c>
      <c r="B9" s="79"/>
      <c r="C9" s="80" t="s">
        <v>1</v>
      </c>
      <c r="D9" s="80"/>
      <c r="E9" s="80"/>
      <c r="F9" s="81"/>
      <c r="G9" s="81"/>
      <c r="H9" s="81"/>
      <c r="I9" s="228">
        <f>K9/$K$38</f>
        <v>0.2792</v>
      </c>
      <c r="J9" s="81"/>
      <c r="K9" s="161">
        <v>9700000</v>
      </c>
      <c r="L9" s="36"/>
      <c r="M9" s="297"/>
      <c r="N9" s="298"/>
      <c r="O9" s="465"/>
      <c r="P9" s="465"/>
      <c r="Q9" s="465"/>
      <c r="R9" s="465"/>
      <c r="S9" s="465"/>
      <c r="T9" s="465"/>
      <c r="U9" s="465"/>
      <c r="V9" s="290"/>
    </row>
    <row r="10" spans="1:24" ht="6.95" customHeight="1">
      <c r="F10" s="71"/>
      <c r="G10" s="71"/>
      <c r="H10" s="71"/>
      <c r="I10" s="8"/>
      <c r="J10" s="71"/>
      <c r="K10" s="160"/>
      <c r="L10" s="36"/>
      <c r="M10" s="297"/>
      <c r="N10" s="298"/>
      <c r="O10" s="304"/>
      <c r="P10" s="304"/>
      <c r="Q10" s="304"/>
      <c r="R10" s="304"/>
      <c r="V10" s="291"/>
    </row>
    <row r="11" spans="1:24" s="10" customFormat="1" ht="12.95" customHeight="1">
      <c r="A11" s="78">
        <v>3</v>
      </c>
      <c r="B11" s="79"/>
      <c r="C11" s="80" t="s">
        <v>7</v>
      </c>
      <c r="D11" s="80"/>
      <c r="E11" s="80"/>
      <c r="F11" s="81"/>
      <c r="G11" s="81"/>
      <c r="H11" s="81"/>
      <c r="I11" s="228">
        <f>K11/$K$38</f>
        <v>0.18129999999999999</v>
      </c>
      <c r="J11" s="81"/>
      <c r="K11" s="226">
        <f>SUBTOTAL(9,K12:K19)</f>
        <v>6300000</v>
      </c>
      <c r="L11" s="36"/>
      <c r="M11" s="297" t="s">
        <v>210</v>
      </c>
      <c r="N11" s="298"/>
      <c r="O11" s="466" t="str">
        <f>'PS BIM'!AE11</f>
        <v xml:space="preserve"> </v>
      </c>
      <c r="P11" s="466"/>
      <c r="Q11" s="466"/>
      <c r="R11" s="466"/>
      <c r="S11" s="466"/>
      <c r="T11" s="466"/>
      <c r="U11" s="466"/>
      <c r="V11" s="289"/>
    </row>
    <row r="12" spans="1:24" ht="12.95" customHeight="1">
      <c r="A12" s="82">
        <v>3</v>
      </c>
      <c r="B12" s="83" t="s">
        <v>16</v>
      </c>
      <c r="C12" s="84" t="s">
        <v>17</v>
      </c>
      <c r="D12" s="84"/>
      <c r="E12" s="84"/>
      <c r="F12" s="85"/>
      <c r="G12" s="85"/>
      <c r="H12" s="85"/>
      <c r="I12" s="229"/>
      <c r="J12" s="85"/>
      <c r="K12" s="161">
        <v>2000000</v>
      </c>
      <c r="L12" s="36"/>
      <c r="M12" s="297"/>
      <c r="N12" s="298"/>
      <c r="O12" s="304"/>
      <c r="P12" s="304"/>
      <c r="Q12" s="304"/>
      <c r="R12" s="304"/>
      <c r="V12" s="291"/>
    </row>
    <row r="13" spans="1:24" ht="12.95" customHeight="1">
      <c r="A13" s="86">
        <v>3</v>
      </c>
      <c r="B13" s="87" t="s">
        <v>18</v>
      </c>
      <c r="C13" s="88" t="s">
        <v>25</v>
      </c>
      <c r="D13" s="88"/>
      <c r="E13" s="88"/>
      <c r="F13" s="89"/>
      <c r="G13" s="89"/>
      <c r="H13" s="89"/>
      <c r="I13" s="230"/>
      <c r="J13" s="89"/>
      <c r="K13" s="161">
        <v>0</v>
      </c>
      <c r="L13" s="36"/>
      <c r="M13" s="297" t="s">
        <v>138</v>
      </c>
      <c r="N13" s="298"/>
      <c r="O13" s="466" t="str">
        <f>'GP2b Mgt. NEU BIM'!AF11</f>
        <v xml:space="preserve"> </v>
      </c>
      <c r="P13" s="466"/>
      <c r="Q13" s="466"/>
      <c r="R13" s="466"/>
      <c r="S13" s="466"/>
      <c r="T13" s="466"/>
      <c r="U13" s="466"/>
      <c r="V13" s="291"/>
    </row>
    <row r="14" spans="1:24" ht="12.95" customHeight="1">
      <c r="A14" s="86">
        <v>3</v>
      </c>
      <c r="B14" s="87" t="s">
        <v>19</v>
      </c>
      <c r="C14" s="88" t="s">
        <v>26</v>
      </c>
      <c r="D14" s="88"/>
      <c r="E14" s="88"/>
      <c r="F14" s="89"/>
      <c r="G14" s="89"/>
      <c r="H14" s="89"/>
      <c r="I14" s="230"/>
      <c r="J14" s="89"/>
      <c r="K14" s="161">
        <v>1500000</v>
      </c>
      <c r="L14" s="36"/>
      <c r="M14" s="297"/>
      <c r="N14" s="298"/>
      <c r="O14" s="304"/>
      <c r="P14" s="304"/>
      <c r="Q14" s="304"/>
      <c r="R14" s="304"/>
      <c r="V14" s="291"/>
    </row>
    <row r="15" spans="1:24" ht="12.95" customHeight="1">
      <c r="A15" s="86">
        <v>3</v>
      </c>
      <c r="B15" s="87" t="s">
        <v>20</v>
      </c>
      <c r="C15" s="88" t="s">
        <v>27</v>
      </c>
      <c r="D15" s="88"/>
      <c r="E15" s="88"/>
      <c r="F15" s="89"/>
      <c r="G15" s="89"/>
      <c r="H15" s="89"/>
      <c r="I15" s="230"/>
      <c r="J15" s="89"/>
      <c r="K15" s="161">
        <v>1500000</v>
      </c>
      <c r="L15" s="36"/>
      <c r="M15" s="297" t="s">
        <v>171</v>
      </c>
      <c r="N15" s="298"/>
      <c r="O15" s="467" t="str">
        <f>'GP2b Mgt. NEU BIM'!AF13</f>
        <v xml:space="preserve"> </v>
      </c>
      <c r="P15" s="467"/>
      <c r="Q15" s="467"/>
      <c r="R15" s="467"/>
      <c r="S15" s="467"/>
      <c r="T15" s="467"/>
      <c r="U15" s="467"/>
      <c r="V15" s="291"/>
    </row>
    <row r="16" spans="1:24" ht="12.95" customHeight="1">
      <c r="A16" s="86">
        <v>3</v>
      </c>
      <c r="B16" s="87" t="s">
        <v>21</v>
      </c>
      <c r="C16" s="88" t="s">
        <v>30</v>
      </c>
      <c r="D16" s="88"/>
      <c r="E16" s="88"/>
      <c r="F16" s="89"/>
      <c r="G16" s="89"/>
      <c r="H16" s="89"/>
      <c r="I16" s="230"/>
      <c r="J16" s="89"/>
      <c r="K16" s="161">
        <v>300000</v>
      </c>
      <c r="L16" s="36"/>
      <c r="M16" s="297"/>
      <c r="N16" s="298"/>
      <c r="O16" s="304"/>
      <c r="P16" s="304"/>
      <c r="Q16" s="304"/>
      <c r="R16" s="304"/>
      <c r="V16" s="291"/>
    </row>
    <row r="17" spans="1:22" ht="12.95" customHeight="1">
      <c r="A17" s="86">
        <v>3</v>
      </c>
      <c r="B17" s="87" t="s">
        <v>22</v>
      </c>
      <c r="C17" s="88" t="s">
        <v>28</v>
      </c>
      <c r="D17" s="88"/>
      <c r="E17" s="88"/>
      <c r="F17" s="89"/>
      <c r="G17" s="89"/>
      <c r="H17" s="89"/>
      <c r="I17" s="230"/>
      <c r="J17" s="89"/>
      <c r="K17" s="161">
        <v>500000</v>
      </c>
      <c r="L17" s="36"/>
      <c r="M17" s="297" t="s">
        <v>139</v>
      </c>
      <c r="N17" s="298"/>
      <c r="O17" s="464" t="s">
        <v>144</v>
      </c>
      <c r="P17" s="464"/>
      <c r="Q17" s="464"/>
      <c r="R17" s="464"/>
      <c r="S17" s="464"/>
      <c r="T17" s="464"/>
      <c r="U17" s="464"/>
      <c r="V17" s="291"/>
    </row>
    <row r="18" spans="1:22" ht="12.95" customHeight="1">
      <c r="A18" s="86">
        <v>3</v>
      </c>
      <c r="B18" s="87" t="s">
        <v>23</v>
      </c>
      <c r="C18" s="88" t="s">
        <v>29</v>
      </c>
      <c r="D18" s="88"/>
      <c r="E18" s="88"/>
      <c r="F18" s="89"/>
      <c r="G18" s="89"/>
      <c r="H18" s="89"/>
      <c r="I18" s="230"/>
      <c r="J18" s="89"/>
      <c r="K18" s="161">
        <v>0</v>
      </c>
      <c r="L18" s="36"/>
      <c r="M18" s="297"/>
      <c r="N18" s="298"/>
      <c r="O18" s="304"/>
      <c r="P18" s="304"/>
      <c r="Q18" s="304"/>
      <c r="R18" s="304"/>
      <c r="V18" s="291"/>
    </row>
    <row r="19" spans="1:22" ht="12.95" customHeight="1">
      <c r="A19" s="86">
        <v>3</v>
      </c>
      <c r="B19" s="87" t="s">
        <v>24</v>
      </c>
      <c r="C19" s="88" t="s">
        <v>8</v>
      </c>
      <c r="D19" s="88"/>
      <c r="E19" s="88"/>
      <c r="F19" s="89"/>
      <c r="G19" s="89"/>
      <c r="H19" s="89"/>
      <c r="I19" s="230"/>
      <c r="J19" s="89"/>
      <c r="K19" s="161">
        <v>500000</v>
      </c>
      <c r="L19" s="36"/>
      <c r="M19" s="297" t="s">
        <v>140</v>
      </c>
      <c r="N19" s="298"/>
      <c r="O19" s="464" t="s">
        <v>144</v>
      </c>
      <c r="P19" s="464"/>
      <c r="Q19" s="464"/>
      <c r="R19" s="464"/>
      <c r="S19" s="464"/>
      <c r="T19" s="464"/>
      <c r="U19" s="464"/>
      <c r="V19" s="291"/>
    </row>
    <row r="20" spans="1:22" ht="6.95" customHeight="1">
      <c r="F20" s="71"/>
      <c r="G20" s="71"/>
      <c r="H20" s="71"/>
      <c r="I20" s="8"/>
      <c r="J20" s="71"/>
      <c r="K20" s="160"/>
      <c r="L20" s="165"/>
      <c r="M20" s="297"/>
      <c r="N20" s="298"/>
      <c r="O20" s="304"/>
      <c r="P20" s="304"/>
      <c r="Q20" s="304"/>
      <c r="R20" s="304"/>
      <c r="V20" s="291"/>
    </row>
    <row r="21" spans="1:22" s="10" customFormat="1" ht="12.75" customHeight="1">
      <c r="A21" s="78">
        <v>4</v>
      </c>
      <c r="B21" s="79"/>
      <c r="C21" s="80" t="s">
        <v>2</v>
      </c>
      <c r="D21" s="80"/>
      <c r="E21" s="80"/>
      <c r="F21" s="81"/>
      <c r="G21" s="81"/>
      <c r="H21" s="81"/>
      <c r="I21" s="228">
        <f>K21/$K$38</f>
        <v>0.2591</v>
      </c>
      <c r="J21" s="81"/>
      <c r="K21" s="161">
        <v>9000000</v>
      </c>
      <c r="L21" s="36"/>
      <c r="M21" s="297" t="s">
        <v>141</v>
      </c>
      <c r="N21" s="298"/>
      <c r="O21" s="464" t="s">
        <v>145</v>
      </c>
      <c r="P21" s="464"/>
      <c r="Q21" s="464"/>
      <c r="R21" s="464"/>
      <c r="S21" s="464"/>
      <c r="T21" s="464"/>
      <c r="U21" s="464"/>
      <c r="V21" s="289"/>
    </row>
    <row r="22" spans="1:22" ht="6.95" customHeight="1">
      <c r="A22" s="4"/>
      <c r="B22" s="6"/>
      <c r="F22" s="71"/>
      <c r="G22" s="71"/>
      <c r="H22" s="71"/>
      <c r="I22" s="8"/>
      <c r="J22" s="71"/>
      <c r="K22" s="160"/>
      <c r="L22" s="34"/>
      <c r="M22" s="297"/>
      <c r="N22" s="298"/>
      <c r="V22" s="291"/>
    </row>
    <row r="23" spans="1:22" s="11" customFormat="1" ht="12.95" customHeight="1">
      <c r="A23" s="78">
        <v>5</v>
      </c>
      <c r="B23" s="79"/>
      <c r="C23" s="80" t="s">
        <v>9</v>
      </c>
      <c r="D23" s="80"/>
      <c r="E23" s="80"/>
      <c r="F23" s="81"/>
      <c r="G23" s="81"/>
      <c r="H23" s="81"/>
      <c r="I23" s="228">
        <f>K23/$K$38</f>
        <v>3.7000000000000002E-3</v>
      </c>
      <c r="J23" s="81"/>
      <c r="K23" s="226">
        <f>SUBTOTAL(9,K24:K26)</f>
        <v>130000</v>
      </c>
      <c r="L23" s="36"/>
      <c r="M23" s="297" t="s">
        <v>142</v>
      </c>
      <c r="N23" s="298"/>
      <c r="O23" s="472" t="s">
        <v>145</v>
      </c>
      <c r="P23" s="472"/>
      <c r="Q23" s="472"/>
      <c r="R23" s="472"/>
      <c r="S23" s="472"/>
      <c r="T23" s="472"/>
      <c r="U23" s="472"/>
      <c r="V23" s="290"/>
    </row>
    <row r="24" spans="1:22" ht="12.95" customHeight="1">
      <c r="A24" s="86">
        <v>5</v>
      </c>
      <c r="B24" s="88" t="s">
        <v>16</v>
      </c>
      <c r="C24" s="88" t="s">
        <v>103</v>
      </c>
      <c r="D24" s="88"/>
      <c r="E24" s="88"/>
      <c r="F24" s="89"/>
      <c r="G24" s="89"/>
      <c r="H24" s="89"/>
      <c r="I24" s="230"/>
      <c r="J24" s="89"/>
      <c r="K24" s="161">
        <v>100000</v>
      </c>
      <c r="L24" s="36"/>
      <c r="M24" s="309"/>
      <c r="N24" s="123"/>
      <c r="V24" s="291"/>
    </row>
    <row r="25" spans="1:22" ht="12.95" customHeight="1">
      <c r="A25" s="86">
        <v>5</v>
      </c>
      <c r="B25" s="88" t="s">
        <v>18</v>
      </c>
      <c r="C25" s="88" t="s">
        <v>104</v>
      </c>
      <c r="D25" s="88"/>
      <c r="E25" s="88"/>
      <c r="F25" s="89"/>
      <c r="G25" s="89"/>
      <c r="H25" s="89"/>
      <c r="I25" s="230"/>
      <c r="J25" s="89"/>
      <c r="K25" s="161">
        <v>20000</v>
      </c>
      <c r="L25" s="36"/>
      <c r="M25" s="309"/>
      <c r="N25" s="123"/>
      <c r="V25" s="291"/>
    </row>
    <row r="26" spans="1:22" ht="12.95" customHeight="1">
      <c r="A26" s="86">
        <v>5</v>
      </c>
      <c r="B26" s="88" t="s">
        <v>19</v>
      </c>
      <c r="C26" s="88" t="s">
        <v>51</v>
      </c>
      <c r="D26" s="88"/>
      <c r="E26" s="88"/>
      <c r="F26" s="89"/>
      <c r="G26" s="89"/>
      <c r="H26" s="89"/>
      <c r="I26" s="230"/>
      <c r="J26" s="89"/>
      <c r="K26" s="161">
        <v>10000</v>
      </c>
      <c r="L26" s="36"/>
      <c r="M26" s="325"/>
      <c r="V26" s="291"/>
    </row>
    <row r="27" spans="1:22" ht="6.95" customHeight="1">
      <c r="F27" s="71"/>
      <c r="G27" s="71"/>
      <c r="H27" s="71"/>
      <c r="I27" s="8"/>
      <c r="J27" s="71"/>
      <c r="K27" s="160"/>
      <c r="L27" s="36"/>
      <c r="M27" s="325"/>
      <c r="V27" s="291"/>
    </row>
    <row r="28" spans="1:22" s="10" customFormat="1" ht="12.95" customHeight="1">
      <c r="A28" s="78">
        <v>6</v>
      </c>
      <c r="B28" s="79"/>
      <c r="C28" s="80" t="s">
        <v>3</v>
      </c>
      <c r="D28" s="80"/>
      <c r="E28" s="80"/>
      <c r="F28" s="81"/>
      <c r="G28" s="81"/>
      <c r="H28" s="81"/>
      <c r="I28" s="228">
        <f>K28/$K$38</f>
        <v>1E-3</v>
      </c>
      <c r="J28" s="81"/>
      <c r="K28" s="161">
        <v>35000</v>
      </c>
      <c r="L28" s="36"/>
      <c r="M28" s="325"/>
      <c r="N28" s="1"/>
      <c r="O28" s="1"/>
      <c r="P28" s="1"/>
      <c r="Q28" s="1"/>
      <c r="R28" s="1"/>
      <c r="S28" s="1"/>
      <c r="T28" s="1"/>
      <c r="U28" s="1"/>
      <c r="V28" s="291"/>
    </row>
    <row r="29" spans="1:22" ht="6.95" customHeight="1">
      <c r="A29" s="13"/>
      <c r="B29" s="5"/>
      <c r="F29" s="73"/>
      <c r="G29" s="73"/>
      <c r="H29" s="73"/>
      <c r="I29" s="231"/>
      <c r="J29" s="73"/>
      <c r="K29" s="160"/>
      <c r="L29" s="36"/>
      <c r="M29" s="325"/>
      <c r="V29" s="291"/>
    </row>
    <row r="30" spans="1:22" s="11" customFormat="1" ht="12.95" customHeight="1">
      <c r="A30" s="78">
        <v>7</v>
      </c>
      <c r="B30" s="79"/>
      <c r="C30" s="80" t="s">
        <v>89</v>
      </c>
      <c r="D30" s="80"/>
      <c r="E30" s="80"/>
      <c r="F30" s="81"/>
      <c r="G30" s="81"/>
      <c r="H30" s="81"/>
      <c r="I30" s="228">
        <f>K30/$K$38</f>
        <v>0.18709999999999999</v>
      </c>
      <c r="J30" s="81"/>
      <c r="K30" s="161">
        <v>6500000</v>
      </c>
      <c r="L30" s="36"/>
      <c r="M30" s="325"/>
      <c r="N30" s="1"/>
      <c r="O30" s="1"/>
      <c r="P30" s="1"/>
      <c r="Q30" s="1"/>
      <c r="R30" s="1"/>
      <c r="S30" s="1"/>
      <c r="T30" s="1"/>
      <c r="U30" s="1"/>
      <c r="V30" s="291"/>
    </row>
    <row r="31" spans="1:22" ht="6.95" customHeight="1">
      <c r="F31" s="73"/>
      <c r="G31" s="73"/>
      <c r="H31" s="73"/>
      <c r="I31" s="231"/>
      <c r="J31" s="73"/>
      <c r="K31" s="160"/>
      <c r="L31" s="36"/>
      <c r="M31" s="325"/>
      <c r="V31" s="291"/>
    </row>
    <row r="32" spans="1:22" s="11" customFormat="1" ht="12.95" customHeight="1">
      <c r="A32" s="78">
        <v>8</v>
      </c>
      <c r="B32" s="79"/>
      <c r="C32" s="80" t="s">
        <v>77</v>
      </c>
      <c r="D32" s="80"/>
      <c r="E32" s="80"/>
      <c r="F32" s="81"/>
      <c r="G32" s="81"/>
      <c r="H32" s="81"/>
      <c r="I32" s="228">
        <f>K32/$K$38</f>
        <v>6.9999999999999999E-4</v>
      </c>
      <c r="J32" s="81"/>
      <c r="K32" s="161">
        <v>25000</v>
      </c>
      <c r="L32" s="36"/>
      <c r="M32" s="325"/>
      <c r="N32" s="1"/>
      <c r="O32" s="1"/>
      <c r="P32" s="1"/>
      <c r="Q32" s="1"/>
      <c r="R32" s="1"/>
      <c r="S32" s="1"/>
      <c r="T32" s="1"/>
      <c r="U32" s="1"/>
      <c r="V32" s="291"/>
    </row>
    <row r="33" spans="1:22" ht="6.95" customHeight="1">
      <c r="F33" s="73"/>
      <c r="G33" s="73"/>
      <c r="H33" s="73"/>
      <c r="I33" s="231"/>
      <c r="J33" s="73"/>
      <c r="K33" s="160"/>
      <c r="L33" s="165"/>
      <c r="M33" s="325"/>
      <c r="V33" s="291"/>
    </row>
    <row r="34" spans="1:22" s="11" customFormat="1" ht="12.95" customHeight="1">
      <c r="A34" s="78">
        <v>9</v>
      </c>
      <c r="B34" s="79"/>
      <c r="C34" s="80" t="s">
        <v>10</v>
      </c>
      <c r="D34" s="80"/>
      <c r="E34" s="80"/>
      <c r="F34" s="81"/>
      <c r="G34" s="81"/>
      <c r="H34" s="81"/>
      <c r="I34" s="228">
        <f>K34/$K$38</f>
        <v>8.6400000000000005E-2</v>
      </c>
      <c r="J34" s="81"/>
      <c r="K34" s="161">
        <v>3000000</v>
      </c>
      <c r="L34" s="36"/>
      <c r="M34" s="325"/>
      <c r="N34" s="1"/>
      <c r="O34" s="1"/>
      <c r="P34" s="1"/>
      <c r="Q34" s="1"/>
      <c r="R34" s="1"/>
      <c r="S34" s="1"/>
      <c r="T34" s="1"/>
      <c r="U34" s="1"/>
      <c r="V34" s="291"/>
    </row>
    <row r="35" spans="1:22" ht="12" customHeight="1">
      <c r="A35" s="13"/>
      <c r="B35" s="5"/>
      <c r="F35" s="33"/>
      <c r="G35" s="33"/>
      <c r="H35" s="33"/>
      <c r="I35" s="33"/>
      <c r="J35" s="33"/>
      <c r="K35" s="34"/>
      <c r="L35" s="1"/>
      <c r="M35" s="325"/>
      <c r="V35" s="291"/>
    </row>
    <row r="36" spans="1:22" ht="15" customHeight="1">
      <c r="A36" s="69" t="s">
        <v>113</v>
      </c>
      <c r="B36" s="65"/>
      <c r="C36" s="65"/>
      <c r="D36" s="65"/>
      <c r="E36" s="65"/>
      <c r="F36" s="74"/>
      <c r="G36" s="74"/>
      <c r="H36" s="74"/>
      <c r="I36" s="232">
        <f>SUM(I5:I32)</f>
        <v>0.91349999999999998</v>
      </c>
      <c r="J36" s="74"/>
      <c r="K36" s="94">
        <f>K9+K11+K21</f>
        <v>25000000</v>
      </c>
      <c r="M36" s="325"/>
      <c r="V36" s="291"/>
    </row>
    <row r="37" spans="1:22" ht="5.0999999999999996" customHeight="1">
      <c r="E37" s="73"/>
      <c r="M37" s="325"/>
      <c r="V37" s="291"/>
    </row>
    <row r="38" spans="1:22" ht="15" customHeight="1">
      <c r="A38" s="69" t="s">
        <v>207</v>
      </c>
      <c r="B38" s="65"/>
      <c r="C38" s="65"/>
      <c r="D38" s="65"/>
      <c r="E38" s="65"/>
      <c r="F38" s="74"/>
      <c r="G38" s="74"/>
      <c r="H38" s="74"/>
      <c r="I38" s="145">
        <f>SUM(I7:I34)</f>
        <v>1</v>
      </c>
      <c r="J38" s="74"/>
      <c r="K38" s="94">
        <f>SUM(K7+K9+K11+K21+K23+K28+K30+K32+K34)</f>
        <v>34740000</v>
      </c>
      <c r="L38" s="23"/>
      <c r="M38" s="325"/>
      <c r="V38" s="291"/>
    </row>
    <row r="39" spans="1:22" ht="12.75" customHeight="1">
      <c r="E39" s="73"/>
      <c r="M39" s="325"/>
      <c r="V39" s="291"/>
    </row>
    <row r="40" spans="1:22" ht="12.75" customHeight="1">
      <c r="A40" s="265" t="s">
        <v>114</v>
      </c>
      <c r="B40" s="266"/>
      <c r="C40" s="267" t="s">
        <v>115</v>
      </c>
      <c r="D40" s="267"/>
      <c r="E40" s="267"/>
      <c r="F40" s="268"/>
      <c r="G40" s="267"/>
      <c r="H40" s="162"/>
      <c r="I40" s="267"/>
      <c r="J40" s="162"/>
      <c r="K40" s="267"/>
      <c r="L40" s="269"/>
      <c r="M40" s="294"/>
      <c r="N40" s="295"/>
      <c r="O40" s="295"/>
      <c r="P40" s="295"/>
      <c r="Q40" s="295"/>
      <c r="R40" s="295"/>
      <c r="S40" s="295"/>
      <c r="T40" s="295"/>
      <c r="U40" s="295"/>
      <c r="V40" s="296"/>
    </row>
    <row r="41" spans="1:22" ht="12.75" customHeight="1">
      <c r="A41" s="4"/>
      <c r="B41" s="5"/>
      <c r="C41" s="1" t="s">
        <v>116</v>
      </c>
      <c r="G41" s="468">
        <v>0</v>
      </c>
      <c r="H41" s="468"/>
      <c r="I41" s="468"/>
      <c r="K41" s="1"/>
      <c r="L41" s="9"/>
    </row>
    <row r="42" spans="1:22" ht="12.75" customHeight="1">
      <c r="A42" s="409"/>
      <c r="B42" s="410"/>
      <c r="C42" s="411" t="s">
        <v>117</v>
      </c>
      <c r="D42" s="411"/>
      <c r="E42" s="411"/>
      <c r="F42" s="411"/>
      <c r="G42" s="469">
        <v>0</v>
      </c>
      <c r="H42" s="469"/>
      <c r="I42" s="469"/>
      <c r="K42" s="1"/>
      <c r="L42" s="9"/>
    </row>
    <row r="43" spans="1:22" ht="12.95" customHeight="1">
      <c r="A43" s="4"/>
      <c r="B43" s="5"/>
      <c r="C43" s="1" t="s">
        <v>118</v>
      </c>
      <c r="G43" s="470">
        <f>G41*G42</f>
        <v>0</v>
      </c>
      <c r="H43" s="470"/>
      <c r="I43" s="470"/>
      <c r="K43" s="1"/>
      <c r="L43" s="9"/>
    </row>
    <row r="44" spans="1:22" ht="29.25" customHeight="1">
      <c r="E44" s="73"/>
    </row>
    <row r="45" spans="1:22" s="39" customFormat="1" ht="12.75" customHeight="1">
      <c r="A45" s="111" t="s">
        <v>73</v>
      </c>
      <c r="B45" s="7"/>
      <c r="F45" s="40"/>
      <c r="G45" s="40"/>
      <c r="H45" s="40"/>
      <c r="I45" s="40"/>
      <c r="J45" s="40"/>
      <c r="K45" s="45"/>
      <c r="L45" s="41"/>
      <c r="M45" s="41"/>
    </row>
    <row r="46" spans="1:22" s="10" customFormat="1" ht="4.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7"/>
    </row>
    <row r="47" spans="1:22" s="10" customFormat="1" ht="4.5" customHeight="1">
      <c r="K47" s="2"/>
    </row>
    <row r="48" spans="1:22" s="10" customFormat="1" ht="12.75" customHeight="1">
      <c r="G48" s="163" t="s">
        <v>84</v>
      </c>
      <c r="H48" s="200"/>
      <c r="I48" s="200" t="s">
        <v>76</v>
      </c>
      <c r="J48" s="138"/>
      <c r="K48" s="2"/>
    </row>
    <row r="49" spans="1:12" s="10" customFormat="1" ht="4.5" customHeight="1">
      <c r="F49" s="134"/>
      <c r="G49" s="134"/>
      <c r="H49" s="134"/>
      <c r="K49" s="2"/>
    </row>
    <row r="50" spans="1:12" ht="4.5" customHeight="1">
      <c r="A50" s="4"/>
      <c r="B50" s="6"/>
      <c r="E50" s="71"/>
      <c r="F50" s="71"/>
      <c r="G50" s="8"/>
      <c r="H50" s="71"/>
      <c r="I50" s="201"/>
      <c r="J50" s="167"/>
      <c r="K50" s="125"/>
    </row>
    <row r="51" spans="1:12" s="11" customFormat="1" ht="12.95" customHeight="1">
      <c r="A51" s="127" t="s">
        <v>268</v>
      </c>
      <c r="B51" s="128"/>
      <c r="C51" s="129"/>
      <c r="D51" s="129"/>
      <c r="E51" s="81"/>
      <c r="F51" s="81"/>
      <c r="G51" s="228">
        <f>K51/$K$36</f>
        <v>4.2200000000000001E-2</v>
      </c>
      <c r="H51" s="228"/>
      <c r="I51" s="233">
        <f>K51/$K$38</f>
        <v>3.04E-2</v>
      </c>
      <c r="J51" s="166"/>
      <c r="K51" s="130">
        <f>'PS BIM'!J79</f>
        <v>1055806</v>
      </c>
    </row>
    <row r="52" spans="1:12" ht="4.5" customHeight="1">
      <c r="A52" s="39"/>
      <c r="B52" s="39"/>
      <c r="E52" s="71"/>
      <c r="F52" s="71"/>
      <c r="G52" s="8"/>
      <c r="H52" s="8"/>
      <c r="I52" s="234"/>
      <c r="J52" s="167"/>
      <c r="K52" s="124"/>
    </row>
    <row r="53" spans="1:12" s="11" customFormat="1" ht="12.95" customHeight="1">
      <c r="A53" s="127" t="s">
        <v>218</v>
      </c>
      <c r="B53" s="128"/>
      <c r="C53" s="129"/>
      <c r="D53" s="129"/>
      <c r="E53" s="81"/>
      <c r="F53" s="81"/>
      <c r="G53" s="228">
        <f>K53/$K$36</f>
        <v>1.7899999999999999E-2</v>
      </c>
      <c r="H53" s="228"/>
      <c r="I53" s="233">
        <f>K53/$K$38</f>
        <v>1.29E-2</v>
      </c>
      <c r="J53" s="166"/>
      <c r="K53" s="130">
        <f>'GP2b Mgt. NEU BIM'!K91</f>
        <v>448385</v>
      </c>
    </row>
    <row r="54" spans="1:12" ht="4.5" customHeight="1">
      <c r="A54" s="39"/>
      <c r="B54" s="39"/>
      <c r="E54" s="71"/>
      <c r="F54" s="71"/>
      <c r="G54" s="8"/>
      <c r="H54" s="8"/>
      <c r="I54" s="234"/>
      <c r="J54" s="167"/>
      <c r="K54" s="124"/>
    </row>
    <row r="55" spans="1:12" s="123" customFormat="1" ht="12.95" customHeight="1">
      <c r="A55" s="312" t="s">
        <v>220</v>
      </c>
      <c r="B55" s="128"/>
      <c r="C55" s="129"/>
      <c r="D55" s="129"/>
      <c r="E55" s="81"/>
      <c r="F55" s="81"/>
      <c r="G55" s="228"/>
      <c r="H55" s="228"/>
      <c r="I55" s="233"/>
      <c r="J55" s="166"/>
      <c r="K55" s="130"/>
    </row>
    <row r="56" spans="1:12" ht="4.5" customHeight="1">
      <c r="A56" s="39"/>
      <c r="B56" s="39"/>
      <c r="E56" s="71"/>
      <c r="F56" s="71"/>
      <c r="G56" s="8"/>
      <c r="H56" s="8"/>
      <c r="I56" s="234"/>
      <c r="J56" s="167"/>
      <c r="K56" s="124"/>
    </row>
    <row r="57" spans="1:12" s="123" customFormat="1" ht="12.75" customHeight="1">
      <c r="A57" s="127" t="s">
        <v>219</v>
      </c>
      <c r="B57" s="128"/>
      <c r="C57" s="129"/>
      <c r="D57" s="129"/>
      <c r="E57" s="81"/>
      <c r="F57" s="81"/>
      <c r="G57" s="228">
        <f>K57/$K$36</f>
        <v>0.10639999999999999</v>
      </c>
      <c r="H57" s="228"/>
      <c r="I57" s="233">
        <f>K57/$K$38</f>
        <v>7.6600000000000001E-2</v>
      </c>
      <c r="J57" s="166"/>
      <c r="K57" s="130">
        <f>'Objektplanung Architektur BIM'!L98</f>
        <v>2660284</v>
      </c>
    </row>
    <row r="58" spans="1:12" ht="4.5" customHeight="1">
      <c r="A58" s="4"/>
      <c r="B58" s="6"/>
      <c r="E58" s="71"/>
      <c r="F58" s="71"/>
      <c r="G58" s="8"/>
      <c r="H58" s="8"/>
      <c r="I58" s="234"/>
      <c r="J58" s="167"/>
      <c r="K58" s="124"/>
    </row>
    <row r="59" spans="1:12" s="11" customFormat="1" ht="12.95" customHeight="1">
      <c r="A59" s="312" t="s">
        <v>221</v>
      </c>
      <c r="B59" s="128"/>
      <c r="C59" s="129"/>
      <c r="D59" s="129"/>
      <c r="E59" s="81"/>
      <c r="F59" s="81"/>
      <c r="G59" s="228"/>
      <c r="H59" s="228"/>
      <c r="I59" s="233"/>
      <c r="J59" s="166"/>
      <c r="K59" s="130"/>
    </row>
    <row r="60" spans="1:12" ht="4.5" customHeight="1">
      <c r="A60" s="313"/>
      <c r="B60" s="39"/>
      <c r="E60" s="71"/>
      <c r="F60" s="71"/>
      <c r="G60" s="8"/>
      <c r="H60" s="8"/>
      <c r="I60" s="234"/>
      <c r="J60" s="167"/>
      <c r="K60" s="124"/>
    </row>
    <row r="61" spans="1:12" s="123" customFormat="1" ht="12.95" customHeight="1">
      <c r="A61" s="312" t="s">
        <v>222</v>
      </c>
      <c r="B61" s="128"/>
      <c r="C61" s="129"/>
      <c r="D61" s="129"/>
      <c r="E61" s="81"/>
      <c r="F61" s="81"/>
      <c r="G61" s="228"/>
      <c r="H61" s="228"/>
      <c r="I61" s="233"/>
      <c r="J61" s="166"/>
      <c r="K61" s="130"/>
    </row>
    <row r="62" spans="1:12" ht="4.5" customHeight="1">
      <c r="A62" s="13"/>
      <c r="B62" s="5"/>
      <c r="E62" s="73"/>
      <c r="F62" s="73"/>
      <c r="G62" s="231"/>
      <c r="H62" s="231"/>
      <c r="I62" s="234"/>
      <c r="J62" s="167"/>
      <c r="K62" s="124"/>
      <c r="L62" s="9"/>
    </row>
    <row r="63" spans="1:12" s="11" customFormat="1" ht="12.95" customHeight="1">
      <c r="A63" s="127" t="s">
        <v>223</v>
      </c>
      <c r="B63" s="128"/>
      <c r="C63" s="129"/>
      <c r="D63" s="129"/>
      <c r="E63" s="81"/>
      <c r="F63" s="81"/>
      <c r="G63" s="228">
        <f>K63/$K$36</f>
        <v>3.1899999999999998E-2</v>
      </c>
      <c r="H63" s="228"/>
      <c r="I63" s="233">
        <f>K63/$K$38</f>
        <v>2.29E-2</v>
      </c>
      <c r="J63" s="166"/>
      <c r="K63" s="130">
        <f>'Tragwerksplanung BIM'!K87</f>
        <v>796796</v>
      </c>
      <c r="L63" s="3"/>
    </row>
    <row r="64" spans="1:12" ht="4.5" customHeight="1">
      <c r="A64" s="39"/>
      <c r="B64" s="39"/>
      <c r="E64" s="73"/>
      <c r="F64" s="73"/>
      <c r="G64" s="231"/>
      <c r="H64" s="231"/>
      <c r="I64" s="234"/>
      <c r="J64" s="167"/>
      <c r="K64" s="124"/>
      <c r="L64" s="9"/>
    </row>
    <row r="65" spans="1:13" s="11" customFormat="1" ht="12.95" customHeight="1">
      <c r="A65" s="312" t="s">
        <v>224</v>
      </c>
      <c r="B65" s="314"/>
      <c r="C65" s="129"/>
      <c r="D65" s="129"/>
      <c r="E65" s="81"/>
      <c r="F65" s="81"/>
      <c r="G65" s="228"/>
      <c r="H65" s="228"/>
      <c r="I65" s="233"/>
      <c r="J65" s="166"/>
      <c r="K65" s="130"/>
      <c r="L65" s="32"/>
    </row>
    <row r="66" spans="1:13" ht="4.5" customHeight="1">
      <c r="A66" s="313"/>
      <c r="B66" s="313"/>
      <c r="E66" s="73"/>
      <c r="F66" s="73"/>
      <c r="G66" s="231"/>
      <c r="H66" s="231"/>
      <c r="I66" s="234"/>
      <c r="J66" s="167"/>
      <c r="K66" s="124"/>
      <c r="L66" s="23"/>
    </row>
    <row r="67" spans="1:13" s="11" customFormat="1" ht="12.95" customHeight="1">
      <c r="A67" s="312" t="s">
        <v>225</v>
      </c>
      <c r="B67" s="314"/>
      <c r="C67" s="129"/>
      <c r="D67" s="129"/>
      <c r="E67" s="81"/>
      <c r="F67" s="81"/>
      <c r="G67" s="228"/>
      <c r="H67" s="228"/>
      <c r="I67" s="233"/>
      <c r="J67" s="166"/>
      <c r="K67" s="130"/>
      <c r="L67" s="23"/>
    </row>
    <row r="68" spans="1:13" ht="4.5" customHeight="1">
      <c r="A68" s="313"/>
      <c r="B68" s="313"/>
      <c r="G68" s="33"/>
      <c r="H68" s="33"/>
      <c r="I68" s="234"/>
      <c r="J68" s="167"/>
      <c r="K68" s="126"/>
      <c r="L68" s="23"/>
    </row>
    <row r="69" spans="1:13" s="11" customFormat="1" ht="12.95" customHeight="1">
      <c r="A69" s="312" t="s">
        <v>226</v>
      </c>
      <c r="B69" s="314"/>
      <c r="C69" s="129"/>
      <c r="D69" s="129"/>
      <c r="E69" s="81"/>
      <c r="F69" s="81"/>
      <c r="G69" s="228"/>
      <c r="H69" s="228"/>
      <c r="I69" s="233"/>
      <c r="J69" s="166"/>
      <c r="K69" s="130"/>
    </row>
    <row r="70" spans="1:13" ht="4.5" customHeight="1">
      <c r="A70" s="39"/>
      <c r="B70" s="39"/>
      <c r="E70" s="71"/>
      <c r="F70" s="71"/>
      <c r="G70" s="8"/>
      <c r="H70" s="8"/>
      <c r="I70" s="234"/>
      <c r="J70" s="167"/>
      <c r="K70" s="124"/>
    </row>
    <row r="71" spans="1:13" s="123" customFormat="1" ht="12.95" customHeight="1">
      <c r="A71" s="127" t="s">
        <v>227</v>
      </c>
      <c r="B71" s="128"/>
      <c r="C71" s="129"/>
      <c r="D71" s="129"/>
      <c r="E71" s="81"/>
      <c r="F71" s="81"/>
      <c r="G71" s="228">
        <f>K71/$K$36</f>
        <v>3.1E-2</v>
      </c>
      <c r="H71" s="228"/>
      <c r="I71" s="233">
        <f>K71/$K$38</f>
        <v>2.23E-2</v>
      </c>
      <c r="J71" s="166"/>
      <c r="K71" s="130">
        <f>'TA_gesamt BIM'!K95</f>
        <v>774068</v>
      </c>
    </row>
    <row r="72" spans="1:13" ht="4.5" customHeight="1">
      <c r="A72" s="39"/>
      <c r="B72" s="39"/>
      <c r="E72" s="71"/>
      <c r="F72" s="71"/>
      <c r="G72" s="8"/>
      <c r="H72" s="8"/>
      <c r="I72" s="275"/>
      <c r="J72" s="167"/>
      <c r="K72" s="124"/>
    </row>
    <row r="73" spans="1:13" ht="4.5" customHeight="1">
      <c r="A73" s="39"/>
      <c r="B73" s="39"/>
      <c r="E73" s="71"/>
      <c r="F73" s="71"/>
      <c r="G73" s="8"/>
      <c r="H73" s="8"/>
      <c r="I73" s="275"/>
      <c r="J73" s="167"/>
      <c r="K73" s="124"/>
    </row>
    <row r="74" spans="1:13" s="123" customFormat="1" ht="12.95" customHeight="1">
      <c r="A74" s="312" t="s">
        <v>119</v>
      </c>
      <c r="B74" s="128"/>
      <c r="C74" s="129"/>
      <c r="D74" s="129"/>
      <c r="E74" s="81"/>
      <c r="F74" s="81"/>
      <c r="G74" s="228"/>
      <c r="H74" s="228"/>
      <c r="I74" s="233"/>
      <c r="J74" s="166"/>
      <c r="K74" s="130"/>
    </row>
    <row r="75" spans="1:13" ht="12.75" customHeight="1">
      <c r="K75" s="168"/>
    </row>
    <row r="76" spans="1:13" s="24" customFormat="1" ht="12.75">
      <c r="A76" s="98" t="s">
        <v>120</v>
      </c>
      <c r="B76" s="99"/>
      <c r="C76" s="100"/>
      <c r="D76" s="100"/>
      <c r="E76" s="102"/>
      <c r="F76" s="102"/>
      <c r="G76" s="102"/>
      <c r="H76" s="102"/>
      <c r="I76" s="137"/>
      <c r="J76" s="137"/>
      <c r="K76" s="103">
        <f>SUM(K50:K74)</f>
        <v>5735339</v>
      </c>
      <c r="L76" s="62"/>
      <c r="M76" s="64"/>
    </row>
    <row r="77" spans="1:13" s="24" customFormat="1" ht="4.5" customHeight="1">
      <c r="A77" s="25"/>
      <c r="B77" s="26"/>
      <c r="C77" s="26"/>
      <c r="D77" s="49"/>
      <c r="E77" s="50"/>
      <c r="F77" s="50"/>
      <c r="G77" s="50"/>
      <c r="H77" s="50"/>
      <c r="I77" s="51"/>
      <c r="J77" s="51"/>
      <c r="K77" s="95"/>
      <c r="M77" s="26"/>
    </row>
    <row r="78" spans="1:13" s="24" customFormat="1" ht="12.75">
      <c r="A78" s="52" t="s">
        <v>12</v>
      </c>
      <c r="B78" s="25"/>
      <c r="C78" s="26"/>
      <c r="D78" s="26"/>
      <c r="E78" s="50"/>
      <c r="F78" s="50"/>
      <c r="G78" s="50"/>
      <c r="H78" s="50"/>
      <c r="I78" s="133"/>
      <c r="J78" s="133"/>
      <c r="K78" s="96">
        <f>'PS BIM'!J81+'GP2b Mgt. NEU BIM'!K93+'Objektplanung Architektur BIM'!L100+'Tragwerksplanung BIM'!K89+'TA_gesamt BIM'!K97</f>
        <v>229413</v>
      </c>
      <c r="L78" s="52"/>
      <c r="M78" s="26"/>
    </row>
    <row r="79" spans="1:13" s="24" customFormat="1" ht="3" customHeight="1">
      <c r="A79" s="53"/>
      <c r="B79" s="54"/>
      <c r="C79" s="55"/>
      <c r="D79" s="55"/>
      <c r="E79" s="59"/>
      <c r="F79" s="59"/>
      <c r="G79" s="59"/>
      <c r="H79" s="59"/>
      <c r="I79" s="135"/>
      <c r="J79" s="135"/>
      <c r="K79" s="97"/>
      <c r="M79" s="26"/>
    </row>
    <row r="80" spans="1:13" s="24" customFormat="1" ht="3" customHeight="1">
      <c r="A80" s="25"/>
      <c r="B80" s="26"/>
      <c r="C80" s="26"/>
      <c r="D80" s="60"/>
      <c r="E80" s="60"/>
      <c r="F80" s="60"/>
      <c r="G80" s="60"/>
      <c r="H80" s="60"/>
      <c r="I80" s="136"/>
      <c r="J80" s="139"/>
      <c r="K80" s="95"/>
      <c r="M80" s="26"/>
    </row>
    <row r="81" spans="1:13" s="24" customFormat="1" ht="12.75">
      <c r="A81" s="56" t="s">
        <v>91</v>
      </c>
      <c r="B81" s="58"/>
      <c r="C81" s="58"/>
      <c r="D81" s="27"/>
      <c r="E81" s="27"/>
      <c r="G81" s="270" t="s">
        <v>121</v>
      </c>
      <c r="H81" s="148"/>
      <c r="I81" s="235">
        <f>K81/K38</f>
        <v>0.17169999999999999</v>
      </c>
      <c r="J81" s="139"/>
      <c r="K81" s="96">
        <f>K76+K78</f>
        <v>5964752</v>
      </c>
      <c r="L81" s="56"/>
      <c r="M81" s="58"/>
    </row>
    <row r="82" spans="1:13" s="24" customFormat="1" ht="4.5" customHeight="1">
      <c r="A82" s="57"/>
      <c r="B82" s="58"/>
      <c r="C82" s="58"/>
      <c r="D82" s="27"/>
      <c r="E82" s="27"/>
      <c r="F82" s="27"/>
      <c r="G82" s="27"/>
      <c r="H82" s="27"/>
      <c r="I82" s="236"/>
      <c r="J82" s="139"/>
      <c r="K82" s="96"/>
      <c r="L82" s="56"/>
      <c r="M82" s="58"/>
    </row>
    <row r="83" spans="1:13" s="24" customFormat="1" ht="4.5" customHeight="1">
      <c r="B83" s="58"/>
      <c r="C83" s="58"/>
      <c r="D83" s="27"/>
      <c r="E83" s="27"/>
      <c r="F83" s="27"/>
      <c r="G83" s="27"/>
      <c r="H83" s="27"/>
      <c r="I83" s="236"/>
      <c r="J83" s="51"/>
      <c r="K83" s="96"/>
      <c r="L83" s="56"/>
      <c r="M83" s="58"/>
    </row>
    <row r="84" spans="1:13" s="24" customFormat="1" ht="12.75">
      <c r="A84" s="24" t="s">
        <v>13</v>
      </c>
      <c r="C84" s="26"/>
      <c r="D84" s="27"/>
      <c r="E84" s="27"/>
      <c r="F84" s="27"/>
      <c r="G84" s="27"/>
      <c r="H84" s="27"/>
      <c r="I84" s="28">
        <v>0.2</v>
      </c>
      <c r="J84" s="133"/>
      <c r="K84" s="96">
        <f>ROUND(K81*I84,2)</f>
        <v>1192950</v>
      </c>
      <c r="M84" s="28"/>
    </row>
    <row r="85" spans="1:13" s="24" customFormat="1" ht="3" customHeight="1">
      <c r="B85" s="26"/>
      <c r="C85" s="26"/>
      <c r="D85" s="27"/>
      <c r="E85" s="27"/>
      <c r="F85" s="27"/>
      <c r="G85" s="27"/>
      <c r="H85" s="27"/>
      <c r="I85" s="236"/>
      <c r="J85" s="51"/>
      <c r="K85" s="95"/>
      <c r="M85" s="26"/>
    </row>
    <row r="86" spans="1:13" s="24" customFormat="1" ht="12.75">
      <c r="A86" s="202" t="s">
        <v>92</v>
      </c>
      <c r="B86" s="203"/>
      <c r="C86" s="203"/>
      <c r="D86" s="204"/>
      <c r="E86" s="205"/>
      <c r="F86" s="205"/>
      <c r="G86" s="205"/>
      <c r="H86" s="205"/>
      <c r="I86" s="240"/>
      <c r="J86" s="206"/>
      <c r="K86" s="207">
        <f>SUM(K81:K84)</f>
        <v>7157702</v>
      </c>
      <c r="L86" s="56"/>
      <c r="M86" s="58"/>
    </row>
    <row r="87" spans="1:13" s="24" customFormat="1" ht="6.95" customHeight="1">
      <c r="B87" s="26"/>
      <c r="C87" s="26"/>
      <c r="D87" s="49"/>
      <c r="E87" s="50"/>
      <c r="F87" s="50"/>
      <c r="G87" s="50"/>
      <c r="H87" s="50"/>
      <c r="I87" s="236"/>
      <c r="J87" s="51"/>
      <c r="K87" s="95"/>
      <c r="M87" s="26"/>
    </row>
    <row r="88" spans="1:13" s="24" customFormat="1" ht="15" customHeight="1">
      <c r="A88" s="271"/>
      <c r="B88" s="26"/>
      <c r="C88" s="26"/>
      <c r="D88" s="50"/>
      <c r="E88" s="50"/>
      <c r="F88" s="50"/>
      <c r="G88" s="471"/>
      <c r="H88" s="471"/>
      <c r="I88" s="471"/>
      <c r="J88" s="272"/>
      <c r="K88" s="96"/>
      <c r="L88" s="52"/>
      <c r="M88" s="26"/>
    </row>
  </sheetData>
  <sheetProtection algorithmName="SHA-512" hashValue="Yvg64JmCyAvuZ/UxiiSUOH5MmZo0U85gM+sKlS/+V5dmJ7sqlbk4TfbsqiOw8FoE/uB1vJDCRkMdv0m26Wd0+w==" saltValue="U26a6VxMNlb4Scx20ZwtKw==" spinCount="100000" sheet="1"/>
  <mergeCells count="18">
    <mergeCell ref="M3:N4"/>
    <mergeCell ref="O3:U4"/>
    <mergeCell ref="M5:N6"/>
    <mergeCell ref="M7:N8"/>
    <mergeCell ref="O7:U8"/>
    <mergeCell ref="O5:U6"/>
    <mergeCell ref="G41:I41"/>
    <mergeCell ref="G42:I42"/>
    <mergeCell ref="G43:I43"/>
    <mergeCell ref="G88:I88"/>
    <mergeCell ref="O23:U23"/>
    <mergeCell ref="O21:U21"/>
    <mergeCell ref="O9:U9"/>
    <mergeCell ref="O11:U11"/>
    <mergeCell ref="O13:U13"/>
    <mergeCell ref="O15:U15"/>
    <mergeCell ref="O17:U17"/>
    <mergeCell ref="O19:U19"/>
  </mergeCells>
  <pageMargins left="0.59055118110236227" right="0.43307086614173229" top="0.62992125984251968" bottom="0.70866141732283472" header="0.31496062992125984" footer="0.31496062992125984"/>
  <pageSetup paperSize="8" scale="81" pageOrder="overThenDown" orientation="landscape" r:id="rId1"/>
  <headerFooter>
    <oddHeader>&amp;L&amp;"Arial,Fett"&amp;K01+020Angebot Generalplaner gesamt  (GP 2b + Planung + ÖBA) mit BIM
&amp;"Arial,Standard"(TA Anlagengruppen gesamt)&amp;R&amp;"Arial,Standard"&amp;K01+021Version 4
Stand: 09.08.2024</oddHeader>
    <oddFooter>&amp;L&amp;"Arial,Fett"&amp;K01+032LM.VM.2023&amp;"Arial,Standard"  | &amp;A |  Angebotsformular mit BIM&amp;R&amp;"Arial,Standard"&amp;K01+032&amp;P/&amp;N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L94"/>
  <sheetViews>
    <sheetView showGridLines="0" zoomScaleNormal="100" zoomScaleSheetLayoutView="145" workbookViewId="0">
      <selection activeCell="I7" sqref="I7"/>
    </sheetView>
  </sheetViews>
  <sheetFormatPr baseColWidth="10" defaultColWidth="2.28515625" defaultRowHeight="14.25"/>
  <cols>
    <col min="1" max="1" width="1.5703125" style="1" customWidth="1"/>
    <col min="2" max="2" width="3.28515625" style="7" customWidth="1"/>
    <col min="3" max="3" width="38.7109375" style="1" customWidth="1"/>
    <col min="4" max="4" width="9" style="1" customWidth="1"/>
    <col min="5" max="5" width="8.140625" style="1" customWidth="1"/>
    <col min="6" max="6" width="15.85546875" style="1" customWidth="1"/>
    <col min="7" max="7" width="15.7109375" style="1" customWidth="1"/>
    <col min="8" max="8" width="8.140625" style="1" customWidth="1"/>
    <col min="9" max="9" width="8.85546875" style="8" customWidth="1" collapsed="1"/>
    <col min="10" max="10" width="15.7109375" style="9" customWidth="1"/>
    <col min="11" max="11" width="2.7109375" style="9" customWidth="1"/>
    <col min="12" max="12" width="7.28515625" style="284" customWidth="1"/>
    <col min="13" max="14" width="6.5703125" style="284" customWidth="1"/>
    <col min="15" max="15" width="6.5703125" style="1" customWidth="1"/>
    <col min="16" max="16" width="30.5703125" style="1" customWidth="1"/>
    <col min="17" max="17" width="6.5703125" style="1" customWidth="1"/>
    <col min="18" max="18" width="7.5703125" style="1" customWidth="1"/>
    <col min="19" max="38" width="6.5703125" style="1" customWidth="1"/>
    <col min="39" max="16384" width="2.28515625" style="1"/>
  </cols>
  <sheetData>
    <row r="1" spans="1:38" ht="5.0999999999999996" customHeight="1"/>
    <row r="2" spans="1:38" s="39" customFormat="1" ht="35.1" customHeight="1">
      <c r="A2" s="111" t="s">
        <v>87</v>
      </c>
      <c r="F2" s="40"/>
      <c r="G2" s="40"/>
      <c r="H2" s="40"/>
      <c r="I2" s="481" t="s">
        <v>178</v>
      </c>
      <c r="J2" s="481"/>
      <c r="K2" s="45"/>
      <c r="L2" s="285"/>
      <c r="M2" s="285"/>
      <c r="N2" s="285"/>
      <c r="AC2" s="299" t="s">
        <v>135</v>
      </c>
      <c r="AD2" s="300"/>
      <c r="AE2" s="300"/>
      <c r="AF2" s="300"/>
      <c r="AG2" s="300"/>
      <c r="AH2" s="300"/>
      <c r="AI2" s="321"/>
      <c r="AJ2" s="321"/>
      <c r="AK2" s="321"/>
      <c r="AL2" s="323"/>
    </row>
    <row r="3" spans="1:38" s="10" customFormat="1" ht="9" customHeight="1">
      <c r="A3" s="76"/>
      <c r="B3" s="76"/>
      <c r="C3" s="76"/>
      <c r="D3" s="76"/>
      <c r="E3" s="76"/>
      <c r="F3" s="76"/>
      <c r="G3" s="76"/>
      <c r="H3" s="76"/>
      <c r="I3" s="76"/>
      <c r="J3" s="77"/>
      <c r="K3" s="2"/>
      <c r="AC3" s="473" t="s">
        <v>136</v>
      </c>
      <c r="AD3" s="474"/>
      <c r="AE3" s="486" t="str">
        <f>'Summenblatt Schule'!O3</f>
        <v>Musterschulgebäude</v>
      </c>
      <c r="AF3" s="486"/>
      <c r="AG3" s="486"/>
      <c r="AH3" s="486"/>
      <c r="AI3" s="486"/>
      <c r="AJ3" s="486"/>
      <c r="AK3" s="486"/>
      <c r="AL3" s="289"/>
    </row>
    <row r="4" spans="1:38" s="10" customFormat="1" ht="10.5" customHeight="1">
      <c r="J4" s="2"/>
      <c r="K4" s="2"/>
      <c r="AC4" s="473"/>
      <c r="AD4" s="474"/>
      <c r="AE4" s="486"/>
      <c r="AF4" s="486"/>
      <c r="AG4" s="486"/>
      <c r="AH4" s="486"/>
      <c r="AI4" s="486"/>
      <c r="AJ4" s="486"/>
      <c r="AK4" s="486"/>
      <c r="AL4" s="289"/>
    </row>
    <row r="5" spans="1:38" s="10" customFormat="1" ht="12.95" customHeight="1">
      <c r="E5" s="72" t="s">
        <v>63</v>
      </c>
      <c r="F5" s="32" t="s">
        <v>49</v>
      </c>
      <c r="G5" s="32"/>
      <c r="H5" s="32"/>
      <c r="I5" s="12" t="s">
        <v>15</v>
      </c>
      <c r="J5" s="93" t="s">
        <v>50</v>
      </c>
      <c r="K5" s="32"/>
      <c r="AC5" s="473" t="s">
        <v>146</v>
      </c>
      <c r="AD5" s="474"/>
      <c r="AE5" s="487" t="str">
        <f>'Summenblatt Schule'!O5</f>
        <v>Schule 25 Mio BK</v>
      </c>
      <c r="AF5" s="487"/>
      <c r="AG5" s="487"/>
      <c r="AH5" s="487"/>
      <c r="AL5" s="289"/>
    </row>
    <row r="6" spans="1:38" s="10" customFormat="1" ht="6" customHeight="1">
      <c r="F6" s="70"/>
      <c r="J6" s="2"/>
      <c r="K6" s="2"/>
      <c r="AC6" s="473"/>
      <c r="AD6" s="474"/>
      <c r="AE6" s="487"/>
      <c r="AF6" s="487"/>
      <c r="AG6" s="487"/>
      <c r="AH6" s="487"/>
      <c r="AL6" s="289"/>
    </row>
    <row r="7" spans="1:38" s="11" customFormat="1" ht="12.95" customHeight="1">
      <c r="A7" s="484">
        <v>1</v>
      </c>
      <c r="B7" s="484"/>
      <c r="C7" s="80" t="s">
        <v>0</v>
      </c>
      <c r="D7" s="80"/>
      <c r="E7" s="140">
        <f>F7/$F$32</f>
        <v>1E-3</v>
      </c>
      <c r="F7" s="406">
        <f>_1</f>
        <v>50000</v>
      </c>
      <c r="G7" s="75"/>
      <c r="H7" s="75"/>
      <c r="I7" s="342">
        <v>0</v>
      </c>
      <c r="J7" s="343">
        <f>F7*I7</f>
        <v>0</v>
      </c>
      <c r="K7" s="36"/>
      <c r="AC7" s="473" t="s">
        <v>137</v>
      </c>
      <c r="AD7" s="474"/>
      <c r="AE7" s="488" t="s">
        <v>143</v>
      </c>
      <c r="AF7" s="488"/>
      <c r="AG7" s="488"/>
      <c r="AH7" s="488"/>
      <c r="AI7" s="488"/>
      <c r="AJ7" s="488"/>
      <c r="AK7" s="488"/>
      <c r="AL7" s="290"/>
    </row>
    <row r="8" spans="1:38" ht="4.1500000000000004" customHeight="1">
      <c r="B8" s="4"/>
      <c r="E8" s="141"/>
      <c r="F8" s="405"/>
      <c r="I8" s="344"/>
      <c r="J8" s="46"/>
      <c r="K8" s="46"/>
      <c r="AC8" s="473"/>
      <c r="AD8" s="474"/>
      <c r="AE8" s="488"/>
      <c r="AF8" s="488"/>
      <c r="AG8" s="488"/>
      <c r="AH8" s="488"/>
      <c r="AI8" s="488"/>
      <c r="AJ8" s="488"/>
      <c r="AK8" s="488"/>
      <c r="AL8" s="291"/>
    </row>
    <row r="9" spans="1:38" s="11" customFormat="1" ht="12.95" customHeight="1">
      <c r="A9" s="484">
        <v>2</v>
      </c>
      <c r="B9" s="484"/>
      <c r="C9" s="80" t="s">
        <v>1</v>
      </c>
      <c r="D9" s="80"/>
      <c r="E9" s="140">
        <f>F9/$F$32</f>
        <v>0.27800000000000002</v>
      </c>
      <c r="F9" s="406">
        <f>_2</f>
        <v>9700000</v>
      </c>
      <c r="G9" s="75"/>
      <c r="H9" s="75"/>
      <c r="I9" s="345">
        <v>1</v>
      </c>
      <c r="J9" s="346">
        <f>F9*I9</f>
        <v>9700000</v>
      </c>
      <c r="K9" s="36"/>
      <c r="AC9" s="297"/>
      <c r="AD9" s="298"/>
      <c r="AE9" s="466"/>
      <c r="AF9" s="466"/>
      <c r="AG9" s="466"/>
      <c r="AH9" s="466"/>
      <c r="AI9" s="466"/>
      <c r="AJ9" s="466"/>
      <c r="AK9" s="466"/>
      <c r="AL9" s="290"/>
    </row>
    <row r="10" spans="1:38" ht="4.1500000000000004" customHeight="1">
      <c r="E10" s="141"/>
      <c r="F10" s="405"/>
      <c r="I10" s="344"/>
      <c r="J10" s="36"/>
      <c r="K10" s="36"/>
      <c r="AC10" s="297"/>
      <c r="AD10" s="298"/>
      <c r="AE10" s="304"/>
      <c r="AF10" s="304"/>
      <c r="AG10" s="304"/>
      <c r="AH10" s="304"/>
      <c r="AL10" s="291"/>
    </row>
    <row r="11" spans="1:38" s="11" customFormat="1" ht="12.95" customHeight="1">
      <c r="A11" s="484">
        <v>3</v>
      </c>
      <c r="B11" s="484"/>
      <c r="C11" s="80" t="s">
        <v>7</v>
      </c>
      <c r="D11" s="80"/>
      <c r="E11" s="140">
        <f>F11/$F$32</f>
        <v>0.18099999999999999</v>
      </c>
      <c r="F11" s="406">
        <f>_3</f>
        <v>6300000</v>
      </c>
      <c r="G11" s="75"/>
      <c r="H11" s="75"/>
      <c r="I11" s="347">
        <v>1</v>
      </c>
      <c r="J11" s="343">
        <f>F11*I11</f>
        <v>6300000</v>
      </c>
      <c r="K11" s="3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297" t="s">
        <v>210</v>
      </c>
      <c r="AD11" s="298"/>
      <c r="AE11" s="476" t="s">
        <v>211</v>
      </c>
      <c r="AF11" s="476"/>
      <c r="AG11" s="476"/>
      <c r="AH11" s="476"/>
      <c r="AI11" s="476"/>
      <c r="AJ11" s="476"/>
      <c r="AK11" s="476"/>
      <c r="AL11" s="289"/>
    </row>
    <row r="12" spans="1:38" ht="4.1500000000000004" customHeight="1">
      <c r="E12" s="141"/>
      <c r="F12" s="405"/>
      <c r="I12" s="348"/>
      <c r="J12" s="36"/>
      <c r="K12" s="35"/>
      <c r="AC12" s="297"/>
      <c r="AD12" s="298"/>
      <c r="AE12" s="304"/>
      <c r="AF12" s="304"/>
      <c r="AG12" s="304"/>
      <c r="AH12" s="304"/>
      <c r="AL12" s="291"/>
    </row>
    <row r="13" spans="1:38" s="10" customFormat="1" ht="12.75" customHeight="1">
      <c r="A13" s="484">
        <v>4</v>
      </c>
      <c r="B13" s="484"/>
      <c r="C13" s="80" t="s">
        <v>2</v>
      </c>
      <c r="D13" s="80"/>
      <c r="E13" s="140">
        <f>F13/$F$32</f>
        <v>0.25800000000000001</v>
      </c>
      <c r="F13" s="406">
        <f>_4</f>
        <v>9000000</v>
      </c>
      <c r="G13" s="75"/>
      <c r="H13" s="75"/>
      <c r="I13" s="347">
        <v>1</v>
      </c>
      <c r="J13" s="343">
        <f>F13*I13</f>
        <v>9000000</v>
      </c>
      <c r="K13" s="36"/>
      <c r="L13" s="284"/>
      <c r="M13" s="284"/>
      <c r="N13" s="28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97"/>
      <c r="AD13" s="298"/>
      <c r="AE13" s="467" t="str">
        <f>'Summenblatt Schule'!O15</f>
        <v xml:space="preserve"> </v>
      </c>
      <c r="AF13" s="467"/>
      <c r="AG13" s="467"/>
      <c r="AH13" s="467"/>
      <c r="AI13" s="467"/>
      <c r="AJ13" s="467"/>
      <c r="AK13" s="467"/>
      <c r="AL13" s="291"/>
    </row>
    <row r="14" spans="1:38" ht="4.1500000000000004" customHeight="1">
      <c r="B14" s="4"/>
      <c r="E14" s="141"/>
      <c r="F14" s="405"/>
      <c r="I14" s="344"/>
      <c r="J14" s="34"/>
      <c r="K14" s="34"/>
      <c r="AC14" s="297"/>
      <c r="AD14" s="298"/>
      <c r="AE14" s="304"/>
      <c r="AF14" s="304"/>
      <c r="AG14" s="304"/>
      <c r="AH14" s="304"/>
      <c r="AL14" s="291"/>
    </row>
    <row r="15" spans="1:38" s="11" customFormat="1" ht="12.95" customHeight="1">
      <c r="A15" s="484">
        <v>5</v>
      </c>
      <c r="B15" s="484"/>
      <c r="C15" s="80" t="s">
        <v>9</v>
      </c>
      <c r="D15" s="80"/>
      <c r="E15" s="140">
        <f>F15/$F$32</f>
        <v>4.0000000000000001E-3</v>
      </c>
      <c r="F15" s="406">
        <f>_5</f>
        <v>130000</v>
      </c>
      <c r="G15" s="75"/>
      <c r="H15" s="75"/>
      <c r="I15" s="344"/>
      <c r="J15" s="349"/>
      <c r="K15" s="36"/>
      <c r="L15" s="31"/>
      <c r="M15" s="284"/>
      <c r="N15" s="28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97" t="s">
        <v>139</v>
      </c>
      <c r="AD15" s="298"/>
      <c r="AE15" s="467" t="str">
        <f>'Summenblatt Schule'!O17</f>
        <v>nn m²</v>
      </c>
      <c r="AF15" s="467"/>
      <c r="AG15" s="467"/>
      <c r="AH15" s="467"/>
      <c r="AI15" s="467"/>
      <c r="AJ15" s="467"/>
      <c r="AK15" s="467"/>
      <c r="AL15" s="291"/>
    </row>
    <row r="16" spans="1:38" ht="12.95" customHeight="1">
      <c r="A16" s="350">
        <v>5</v>
      </c>
      <c r="B16" s="351" t="s">
        <v>16</v>
      </c>
      <c r="C16" s="352" t="s">
        <v>103</v>
      </c>
      <c r="D16" s="352"/>
      <c r="E16" s="142"/>
      <c r="F16" s="406">
        <f>_5.01</f>
        <v>100000</v>
      </c>
      <c r="G16" s="75"/>
      <c r="H16" s="75"/>
      <c r="I16" s="345">
        <v>1</v>
      </c>
      <c r="J16" s="353">
        <f>I16*F16</f>
        <v>100000</v>
      </c>
      <c r="K16" s="1"/>
      <c r="L16" s="31"/>
      <c r="AC16" s="297"/>
      <c r="AD16" s="298"/>
      <c r="AE16" s="304"/>
      <c r="AF16" s="304"/>
      <c r="AG16" s="304"/>
      <c r="AH16" s="304"/>
      <c r="AL16" s="291"/>
    </row>
    <row r="17" spans="1:38" ht="12.95" customHeight="1">
      <c r="A17" s="354">
        <v>5</v>
      </c>
      <c r="B17" s="355" t="s">
        <v>18</v>
      </c>
      <c r="C17" s="356" t="s">
        <v>104</v>
      </c>
      <c r="D17" s="356"/>
      <c r="E17" s="254"/>
      <c r="F17" s="406">
        <f>_5.02</f>
        <v>20000</v>
      </c>
      <c r="G17" s="75"/>
      <c r="H17" s="75"/>
      <c r="I17" s="345">
        <v>0.6</v>
      </c>
      <c r="J17" s="353">
        <f>I17*F17</f>
        <v>12000</v>
      </c>
      <c r="K17" s="1"/>
      <c r="L17" s="31"/>
      <c r="AC17" s="297" t="s">
        <v>140</v>
      </c>
      <c r="AD17" s="298"/>
      <c r="AE17" s="467" t="str">
        <f>'Summenblatt Schule'!O19</f>
        <v>nn m²</v>
      </c>
      <c r="AF17" s="467"/>
      <c r="AG17" s="467"/>
      <c r="AH17" s="467"/>
      <c r="AI17" s="467"/>
      <c r="AJ17" s="467"/>
      <c r="AK17" s="467"/>
      <c r="AL17" s="291"/>
    </row>
    <row r="18" spans="1:38" ht="12.95" customHeight="1">
      <c r="A18" s="354">
        <v>5</v>
      </c>
      <c r="B18" s="355" t="s">
        <v>19</v>
      </c>
      <c r="C18" s="357" t="s">
        <v>51</v>
      </c>
      <c r="D18" s="357"/>
      <c r="E18" s="143"/>
      <c r="F18" s="406">
        <f>_5.03</f>
        <v>10000</v>
      </c>
      <c r="G18" s="75"/>
      <c r="H18" s="75"/>
      <c r="I18" s="345">
        <v>1</v>
      </c>
      <c r="J18" s="353">
        <f>F18*I18</f>
        <v>10000</v>
      </c>
      <c r="K18" s="1"/>
      <c r="L18" s="31"/>
      <c r="AC18" s="297"/>
      <c r="AD18" s="298"/>
      <c r="AE18" s="304"/>
      <c r="AF18" s="304"/>
      <c r="AG18" s="304"/>
      <c r="AH18" s="304"/>
      <c r="AL18" s="291"/>
    </row>
    <row r="19" spans="1:38" ht="4.1500000000000004" customHeight="1">
      <c r="E19" s="141"/>
      <c r="F19" s="405"/>
      <c r="I19" s="344"/>
      <c r="J19" s="36"/>
      <c r="K19" s="36"/>
      <c r="L19" s="31"/>
      <c r="AC19" s="297"/>
      <c r="AD19" s="298"/>
      <c r="AE19" s="467"/>
      <c r="AF19" s="467"/>
      <c r="AG19" s="467"/>
      <c r="AH19" s="467"/>
      <c r="AI19" s="467"/>
      <c r="AJ19" s="467"/>
      <c r="AK19" s="467"/>
      <c r="AL19" s="291"/>
    </row>
    <row r="20" spans="1:38" s="10" customFormat="1" ht="12.95" customHeight="1">
      <c r="A20" s="484">
        <v>6</v>
      </c>
      <c r="B20" s="484"/>
      <c r="C20" s="80" t="s">
        <v>3</v>
      </c>
      <c r="D20" s="80"/>
      <c r="E20" s="140">
        <f>F20/$F$32</f>
        <v>1E-3</v>
      </c>
      <c r="F20" s="406">
        <f>_6</f>
        <v>35000</v>
      </c>
      <c r="G20" s="75"/>
      <c r="H20" s="75"/>
      <c r="I20" s="347">
        <v>1</v>
      </c>
      <c r="J20" s="343">
        <f>F20*I20</f>
        <v>35000</v>
      </c>
      <c r="K20" s="36"/>
      <c r="L20" s="284"/>
      <c r="M20" s="284"/>
      <c r="N20" s="28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97" t="s">
        <v>141</v>
      </c>
      <c r="AD20" s="298"/>
      <c r="AE20" s="467" t="str">
        <f>'Summenblatt Schule'!O21</f>
        <v>nn m³</v>
      </c>
      <c r="AF20" s="467"/>
      <c r="AG20" s="467"/>
      <c r="AH20" s="467"/>
      <c r="AI20" s="467"/>
      <c r="AJ20" s="467"/>
      <c r="AK20" s="467"/>
      <c r="AL20" s="291"/>
    </row>
    <row r="21" spans="1:38" ht="4.1500000000000004" customHeight="1">
      <c r="B21" s="13"/>
      <c r="E21" s="144"/>
      <c r="F21" s="405"/>
      <c r="I21" s="344"/>
      <c r="J21" s="36"/>
      <c r="K21" s="36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97"/>
      <c r="AD21" s="298"/>
      <c r="AE21" s="466"/>
      <c r="AF21" s="466"/>
      <c r="AG21" s="466"/>
      <c r="AH21" s="466"/>
      <c r="AI21" s="466"/>
      <c r="AJ21" s="466"/>
      <c r="AK21" s="466"/>
      <c r="AL21" s="289"/>
    </row>
    <row r="22" spans="1:38" s="11" customFormat="1" ht="12.95" customHeight="1">
      <c r="A22" s="483">
        <v>7</v>
      </c>
      <c r="B22" s="483"/>
      <c r="C22" s="80" t="s">
        <v>179</v>
      </c>
      <c r="D22" s="80"/>
      <c r="E22" s="140">
        <f>F22/$F$32</f>
        <v>0.186</v>
      </c>
      <c r="F22" s="406">
        <f>SUBTOTAL(9,F23:F26)</f>
        <v>6500000</v>
      </c>
      <c r="G22" s="75"/>
      <c r="H22" s="75"/>
      <c r="I22" s="344"/>
      <c r="J22" s="349"/>
      <c r="K22" s="36"/>
      <c r="L22" s="284"/>
      <c r="M22" s="284"/>
      <c r="N22" s="28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97" t="s">
        <v>142</v>
      </c>
      <c r="AD22" s="298"/>
      <c r="AE22" s="466" t="str">
        <f>'Summenblatt Schule'!O23</f>
        <v>nn m³</v>
      </c>
      <c r="AF22" s="466"/>
      <c r="AG22" s="466"/>
      <c r="AH22" s="466"/>
      <c r="AI22" s="466"/>
      <c r="AJ22" s="466"/>
      <c r="AK22" s="466"/>
      <c r="AL22" s="291"/>
    </row>
    <row r="23" spans="1:38" ht="12.95" customHeight="1">
      <c r="A23" s="354">
        <v>7</v>
      </c>
      <c r="B23" s="351" t="s">
        <v>16</v>
      </c>
      <c r="C23" s="352" t="s">
        <v>180</v>
      </c>
      <c r="D23" s="352"/>
      <c r="E23" s="142"/>
      <c r="F23" s="406"/>
      <c r="G23" s="142"/>
      <c r="H23" s="142"/>
      <c r="I23" s="345">
        <v>0</v>
      </c>
      <c r="J23" s="358">
        <f>F23*I23</f>
        <v>0</v>
      </c>
      <c r="K23" s="36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309"/>
      <c r="AD23" s="123"/>
      <c r="AE23" s="11"/>
      <c r="AF23" s="11"/>
      <c r="AG23" s="11"/>
      <c r="AH23" s="11"/>
      <c r="AI23" s="11"/>
      <c r="AJ23" s="11"/>
      <c r="AK23" s="11"/>
      <c r="AL23" s="290"/>
    </row>
    <row r="24" spans="1:38" ht="12.95" customHeight="1">
      <c r="A24" s="354">
        <v>7</v>
      </c>
      <c r="B24" s="355" t="s">
        <v>18</v>
      </c>
      <c r="C24" s="357" t="s">
        <v>181</v>
      </c>
      <c r="D24" s="356"/>
      <c r="E24" s="254"/>
      <c r="F24" s="406"/>
      <c r="G24" s="254"/>
      <c r="H24" s="254"/>
      <c r="I24" s="345">
        <v>0</v>
      </c>
      <c r="J24" s="358">
        <f>F24*I24</f>
        <v>0</v>
      </c>
      <c r="K24" s="36"/>
      <c r="AC24" s="309"/>
      <c r="AD24" s="123"/>
      <c r="AL24" s="291"/>
    </row>
    <row r="25" spans="1:38" ht="12.95" customHeight="1">
      <c r="A25" s="354">
        <v>7</v>
      </c>
      <c r="B25" s="355" t="s">
        <v>19</v>
      </c>
      <c r="C25" s="357" t="s">
        <v>182</v>
      </c>
      <c r="D25" s="357"/>
      <c r="E25" s="143"/>
      <c r="F25" s="406"/>
      <c r="G25" s="143"/>
      <c r="H25" s="143"/>
      <c r="I25" s="345">
        <v>0</v>
      </c>
      <c r="J25" s="358">
        <f>F25*I25</f>
        <v>0</v>
      </c>
      <c r="K25" s="36"/>
      <c r="AC25" s="309"/>
      <c r="AD25" s="123"/>
      <c r="AL25" s="291"/>
    </row>
    <row r="26" spans="1:38" ht="12.95" customHeight="1">
      <c r="A26" s="354">
        <v>7</v>
      </c>
      <c r="B26" s="355" t="s">
        <v>20</v>
      </c>
      <c r="C26" s="357" t="s">
        <v>183</v>
      </c>
      <c r="D26" s="357"/>
      <c r="E26" s="143"/>
      <c r="F26" s="406">
        <f>_7</f>
        <v>6500000</v>
      </c>
      <c r="G26" s="143"/>
      <c r="H26" s="143"/>
      <c r="I26" s="345">
        <v>1</v>
      </c>
      <c r="J26" s="358">
        <f>F26*I26</f>
        <v>6500000</v>
      </c>
      <c r="K26" s="36"/>
      <c r="AC26" s="325"/>
      <c r="AL26" s="291"/>
    </row>
    <row r="27" spans="1:38" ht="4.1500000000000004" customHeight="1">
      <c r="E27" s="144"/>
      <c r="F27" s="405"/>
      <c r="I27" s="344"/>
      <c r="J27" s="36"/>
      <c r="K27" s="36"/>
      <c r="AC27" s="325"/>
      <c r="AL27" s="291"/>
    </row>
    <row r="28" spans="1:38" s="11" customFormat="1" ht="12.95" customHeight="1">
      <c r="A28" s="484">
        <v>8</v>
      </c>
      <c r="B28" s="484"/>
      <c r="C28" s="80" t="s">
        <v>184</v>
      </c>
      <c r="D28" s="80"/>
      <c r="E28" s="140">
        <f>F28/$F$32</f>
        <v>1E-3</v>
      </c>
      <c r="F28" s="406">
        <v>25000</v>
      </c>
      <c r="G28" s="75"/>
      <c r="H28" s="75"/>
      <c r="I28" s="347">
        <v>0</v>
      </c>
      <c r="J28" s="343">
        <f>F28*I28</f>
        <v>0</v>
      </c>
      <c r="K28" s="36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325"/>
      <c r="AD28" s="1"/>
      <c r="AE28" s="1"/>
      <c r="AF28" s="1"/>
      <c r="AG28" s="1"/>
      <c r="AH28" s="1"/>
      <c r="AI28" s="1"/>
      <c r="AJ28" s="1"/>
      <c r="AK28" s="1"/>
      <c r="AL28" s="291"/>
    </row>
    <row r="29" spans="1:38" ht="4.1500000000000004" customHeight="1">
      <c r="E29" s="144"/>
      <c r="F29" s="405"/>
      <c r="I29" s="348"/>
      <c r="J29" s="36"/>
      <c r="K29" s="35"/>
      <c r="L29" s="9"/>
      <c r="AC29" s="325"/>
      <c r="AL29" s="291"/>
    </row>
    <row r="30" spans="1:38" s="11" customFormat="1" ht="12.95" customHeight="1">
      <c r="A30" s="484">
        <v>9</v>
      </c>
      <c r="B30" s="484"/>
      <c r="C30" s="80" t="s">
        <v>10</v>
      </c>
      <c r="D30" s="80"/>
      <c r="E30" s="140">
        <f>F30/$F$32</f>
        <v>8.5999999999999993E-2</v>
      </c>
      <c r="F30" s="406">
        <f>_9</f>
        <v>3000000</v>
      </c>
      <c r="G30" s="75"/>
      <c r="H30" s="75"/>
      <c r="I30" s="347">
        <v>0.4</v>
      </c>
      <c r="J30" s="343">
        <f>F30*I30</f>
        <v>1200000</v>
      </c>
      <c r="K30" s="36"/>
      <c r="L30" s="3"/>
      <c r="AC30" s="325"/>
      <c r="AD30" s="1"/>
      <c r="AE30" s="1"/>
      <c r="AF30" s="1"/>
      <c r="AG30" s="1"/>
      <c r="AH30" s="1"/>
      <c r="AI30" s="1"/>
      <c r="AJ30" s="1"/>
      <c r="AK30" s="1"/>
      <c r="AL30" s="291"/>
    </row>
    <row r="31" spans="1:38" ht="9.9499999999999993" customHeight="1">
      <c r="E31" s="33"/>
      <c r="I31" s="359"/>
      <c r="K31" s="1"/>
      <c r="L31" s="9"/>
      <c r="AC31" s="325"/>
      <c r="AL31" s="291"/>
    </row>
    <row r="32" spans="1:38" s="115" customFormat="1" ht="12.95" customHeight="1">
      <c r="A32" s="360" t="s">
        <v>208</v>
      </c>
      <c r="B32" s="360"/>
      <c r="C32" s="118"/>
      <c r="D32" s="118"/>
      <c r="E32" s="120">
        <f>SUM(E7:E30)</f>
        <v>1</v>
      </c>
      <c r="F32" s="361">
        <f>SUBTOTAL(9,F7:F30)</f>
        <v>34870000</v>
      </c>
      <c r="G32" s="362"/>
      <c r="H32" s="362"/>
      <c r="I32" s="363"/>
      <c r="J32" s="364">
        <f>SUBTOTAL(9,J7:J30)</f>
        <v>32857000</v>
      </c>
      <c r="K32" s="3"/>
      <c r="L32" s="164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25"/>
      <c r="AD32" s="1"/>
      <c r="AE32" s="1"/>
      <c r="AF32" s="1"/>
      <c r="AG32" s="1"/>
      <c r="AH32" s="1"/>
      <c r="AI32" s="1"/>
      <c r="AJ32" s="1"/>
      <c r="AK32" s="1"/>
      <c r="AL32" s="291"/>
    </row>
    <row r="33" spans="1:38" ht="4.1500000000000004" customHeight="1">
      <c r="B33" s="255"/>
      <c r="E33" s="33"/>
      <c r="K33" s="1"/>
      <c r="L33" s="23"/>
      <c r="AC33" s="325"/>
      <c r="AL33" s="291"/>
    </row>
    <row r="34" spans="1:38" s="10" customFormat="1" ht="12.95" customHeight="1">
      <c r="A34" s="365"/>
      <c r="B34" s="79" t="s">
        <v>185</v>
      </c>
      <c r="C34" s="80"/>
      <c r="D34" s="80"/>
      <c r="E34" s="140"/>
      <c r="F34" s="401">
        <f>_mvB</f>
        <v>0</v>
      </c>
      <c r="G34" s="366"/>
      <c r="H34" s="366"/>
      <c r="I34" s="347">
        <v>1</v>
      </c>
      <c r="J34" s="343">
        <f>F34*I34</f>
        <v>0</v>
      </c>
      <c r="L34" s="23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325"/>
      <c r="AD34" s="1"/>
      <c r="AE34" s="1"/>
      <c r="AF34" s="1"/>
      <c r="AG34" s="1"/>
      <c r="AH34" s="1"/>
      <c r="AI34" s="1"/>
      <c r="AJ34" s="1"/>
      <c r="AK34" s="1"/>
      <c r="AL34" s="291"/>
    </row>
    <row r="35" spans="1:38" ht="9.9499999999999993" customHeight="1">
      <c r="K35" s="1"/>
      <c r="L35" s="23"/>
      <c r="AC35" s="325"/>
      <c r="AL35" s="291"/>
    </row>
    <row r="36" spans="1:38" s="116" customFormat="1" ht="12.95" customHeight="1">
      <c r="A36" s="209" t="s">
        <v>31</v>
      </c>
      <c r="B36" s="210"/>
      <c r="C36" s="210"/>
      <c r="D36" s="210"/>
      <c r="E36" s="210"/>
      <c r="F36" s="210"/>
      <c r="G36" s="210"/>
      <c r="H36" s="210"/>
      <c r="I36" s="211"/>
      <c r="J36" s="367">
        <f>J32+J34</f>
        <v>32857000</v>
      </c>
      <c r="K36" s="119"/>
      <c r="L36" s="3"/>
      <c r="M36" s="286"/>
      <c r="N36" s="286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325"/>
      <c r="AD36" s="1"/>
      <c r="AE36" s="1"/>
      <c r="AF36" s="1"/>
      <c r="AG36" s="1"/>
      <c r="AH36" s="1"/>
      <c r="AI36" s="1"/>
      <c r="AJ36" s="1"/>
      <c r="AK36" s="1"/>
      <c r="AL36" s="291"/>
    </row>
    <row r="37" spans="1:38" ht="15" customHeight="1">
      <c r="K37" s="1"/>
      <c r="L37" s="1"/>
      <c r="M37" s="1"/>
      <c r="N37" s="1"/>
      <c r="AC37" s="325"/>
      <c r="AL37" s="291"/>
    </row>
    <row r="38" spans="1:38" ht="12.75" customHeight="1">
      <c r="A38" s="171" t="s">
        <v>186</v>
      </c>
      <c r="B38" s="171"/>
      <c r="C38" s="172"/>
      <c r="D38" s="172"/>
      <c r="E38" s="172"/>
      <c r="F38" s="172"/>
      <c r="G38" s="172"/>
      <c r="H38" s="172"/>
      <c r="I38" s="171"/>
      <c r="J38" s="258"/>
      <c r="K38" s="17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325"/>
      <c r="AL38" s="291"/>
    </row>
    <row r="39" spans="1:38" ht="6.75" customHeight="1">
      <c r="A39" s="173"/>
      <c r="B39" s="173"/>
      <c r="C39" s="173"/>
      <c r="D39" s="173"/>
      <c r="E39" s="173"/>
      <c r="F39" s="173"/>
      <c r="G39" s="173"/>
      <c r="H39" s="173"/>
      <c r="J39" s="257"/>
      <c r="L39" s="1"/>
      <c r="M39" s="1"/>
      <c r="N39" s="1"/>
      <c r="AC39" s="325"/>
      <c r="AL39" s="291"/>
    </row>
    <row r="40" spans="1:38" ht="12.75" customHeight="1">
      <c r="A40" s="174" t="s">
        <v>64</v>
      </c>
      <c r="B40" s="173"/>
      <c r="C40" s="173"/>
      <c r="D40" s="173"/>
      <c r="E40" s="173"/>
      <c r="F40" s="173"/>
      <c r="G40" s="173"/>
      <c r="H40" s="173"/>
      <c r="J40" s="257"/>
      <c r="L40" s="3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294"/>
      <c r="AD40" s="295"/>
      <c r="AE40" s="295"/>
      <c r="AF40" s="295"/>
      <c r="AG40" s="295"/>
      <c r="AH40" s="295"/>
      <c r="AI40" s="295"/>
      <c r="AJ40" s="295"/>
      <c r="AK40" s="295"/>
      <c r="AL40" s="296"/>
    </row>
    <row r="41" spans="1:38" ht="12.75" customHeight="1">
      <c r="A41" s="18"/>
      <c r="B41" s="18"/>
      <c r="F41" s="175" t="s">
        <v>5</v>
      </c>
      <c r="G41" s="176" t="s">
        <v>4</v>
      </c>
      <c r="H41" s="176"/>
      <c r="I41" s="485" t="s">
        <v>234</v>
      </c>
      <c r="J41" s="485"/>
      <c r="K41" s="42"/>
      <c r="L41" s="23"/>
      <c r="M41" s="287"/>
      <c r="N41" s="28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38" ht="12.75" customHeight="1">
      <c r="B42" s="19" t="s">
        <v>45</v>
      </c>
      <c r="C42" s="37"/>
      <c r="D42" s="37"/>
      <c r="E42" s="37"/>
      <c r="F42" s="368">
        <v>6</v>
      </c>
      <c r="G42" s="177" t="s">
        <v>187</v>
      </c>
      <c r="H42" s="176"/>
      <c r="I42" s="418"/>
      <c r="J42" s="419"/>
      <c r="K42" s="42"/>
      <c r="L42" s="478" t="s">
        <v>229</v>
      </c>
      <c r="M42" s="478" t="s">
        <v>131</v>
      </c>
      <c r="N42" s="478" t="s">
        <v>132</v>
      </c>
      <c r="O42" s="478" t="s">
        <v>166</v>
      </c>
      <c r="P42" s="318"/>
      <c r="Q42" s="478" t="s">
        <v>172</v>
      </c>
      <c r="R42" s="478" t="s">
        <v>173</v>
      </c>
      <c r="S42" s="478" t="s">
        <v>174</v>
      </c>
      <c r="T42" s="478" t="s">
        <v>133</v>
      </c>
      <c r="U42" s="478" t="s">
        <v>152</v>
      </c>
      <c r="V42" s="478" t="s">
        <v>153</v>
      </c>
      <c r="W42" s="478" t="s">
        <v>167</v>
      </c>
      <c r="X42" s="478" t="s">
        <v>154</v>
      </c>
      <c r="Y42" s="478" t="s">
        <v>155</v>
      </c>
      <c r="Z42" s="478" t="s">
        <v>156</v>
      </c>
      <c r="AA42" s="478" t="s">
        <v>168</v>
      </c>
      <c r="AB42" s="478" t="s">
        <v>157</v>
      </c>
      <c r="AC42" s="478" t="s">
        <v>158</v>
      </c>
      <c r="AD42" s="478" t="s">
        <v>160</v>
      </c>
      <c r="AE42" s="478" t="s">
        <v>170</v>
      </c>
      <c r="AF42" s="478" t="s">
        <v>159</v>
      </c>
      <c r="AG42" s="478" t="s">
        <v>161</v>
      </c>
      <c r="AH42" s="478" t="s">
        <v>175</v>
      </c>
      <c r="AI42" s="478" t="s">
        <v>163</v>
      </c>
      <c r="AJ42" s="478" t="s">
        <v>164</v>
      </c>
      <c r="AK42" s="478" t="s">
        <v>169</v>
      </c>
      <c r="AL42" s="478" t="s">
        <v>165</v>
      </c>
    </row>
    <row r="43" spans="1:38" ht="12.75" customHeight="1">
      <c r="B43" s="20" t="s">
        <v>46</v>
      </c>
      <c r="C43" s="38"/>
      <c r="D43" s="38"/>
      <c r="E43" s="38"/>
      <c r="F43" s="369">
        <v>3</v>
      </c>
      <c r="G43" s="178" t="s">
        <v>187</v>
      </c>
      <c r="H43" s="176"/>
      <c r="I43" s="420"/>
      <c r="J43" s="421"/>
      <c r="K43" s="42"/>
      <c r="L43" s="479"/>
      <c r="M43" s="479"/>
      <c r="N43" s="479"/>
      <c r="O43" s="479"/>
      <c r="P43" s="319"/>
      <c r="Q43" s="479"/>
      <c r="R43" s="479"/>
      <c r="S43" s="479"/>
      <c r="T43" s="479"/>
      <c r="U43" s="479"/>
      <c r="V43" s="479"/>
      <c r="W43" s="479"/>
      <c r="X43" s="479"/>
      <c r="Y43" s="479"/>
      <c r="Z43" s="479"/>
      <c r="AA43" s="479"/>
      <c r="AB43" s="479"/>
      <c r="AC43" s="479"/>
      <c r="AD43" s="479"/>
      <c r="AE43" s="479"/>
      <c r="AF43" s="479"/>
      <c r="AG43" s="479"/>
      <c r="AH43" s="479"/>
      <c r="AI43" s="479"/>
      <c r="AJ43" s="479"/>
      <c r="AK43" s="479"/>
      <c r="AL43" s="479"/>
    </row>
    <row r="44" spans="1:38" ht="12.75" customHeight="1">
      <c r="B44" s="20" t="s">
        <v>47</v>
      </c>
      <c r="C44" s="38"/>
      <c r="D44" s="38"/>
      <c r="E44" s="38"/>
      <c r="F44" s="370">
        <v>1</v>
      </c>
      <c r="G44" s="178" t="s">
        <v>187</v>
      </c>
      <c r="H44" s="176"/>
      <c r="I44" s="420"/>
      <c r="J44" s="421"/>
      <c r="K44" s="42"/>
      <c r="L44" s="479"/>
      <c r="M44" s="479"/>
      <c r="N44" s="479"/>
      <c r="O44" s="479"/>
      <c r="P44" s="31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  <c r="AD44" s="479"/>
      <c r="AE44" s="479"/>
      <c r="AF44" s="479"/>
      <c r="AG44" s="479"/>
      <c r="AH44" s="479"/>
      <c r="AI44" s="479"/>
      <c r="AJ44" s="479"/>
      <c r="AK44" s="479"/>
      <c r="AL44" s="479"/>
    </row>
    <row r="45" spans="1:38" ht="12.75" customHeight="1">
      <c r="B45" s="20" t="s">
        <v>48</v>
      </c>
      <c r="C45" s="38"/>
      <c r="D45" s="38"/>
      <c r="E45" s="38"/>
      <c r="F45" s="370">
        <v>2</v>
      </c>
      <c r="G45" s="178" t="s">
        <v>6</v>
      </c>
      <c r="H45" s="176"/>
      <c r="I45" s="420"/>
      <c r="J45" s="421"/>
      <c r="K45" s="42"/>
      <c r="L45" s="479"/>
      <c r="M45" s="479"/>
      <c r="N45" s="479"/>
      <c r="O45" s="479"/>
      <c r="P45" s="319"/>
      <c r="Q45" s="47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79"/>
      <c r="AD45" s="479"/>
      <c r="AE45" s="479"/>
      <c r="AF45" s="479"/>
      <c r="AG45" s="479"/>
      <c r="AH45" s="479"/>
      <c r="AI45" s="479"/>
      <c r="AJ45" s="479"/>
      <c r="AK45" s="479"/>
      <c r="AL45" s="479"/>
    </row>
    <row r="46" spans="1:38" ht="12.75" customHeight="1">
      <c r="B46" s="20" t="s">
        <v>188</v>
      </c>
      <c r="C46" s="38"/>
      <c r="D46" s="38"/>
      <c r="E46" s="38"/>
      <c r="F46" s="370">
        <v>2</v>
      </c>
      <c r="G46" s="178" t="s">
        <v>6</v>
      </c>
      <c r="H46" s="176"/>
      <c r="I46" s="418"/>
      <c r="J46" s="419"/>
      <c r="K46" s="42"/>
      <c r="L46" s="479"/>
      <c r="M46" s="479"/>
      <c r="N46" s="479"/>
      <c r="O46" s="479"/>
      <c r="P46" s="31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</row>
    <row r="47" spans="1:38" ht="4.5" customHeight="1">
      <c r="A47" s="18"/>
      <c r="B47" s="18"/>
      <c r="C47" s="18"/>
      <c r="D47" s="18"/>
      <c r="F47" s="179"/>
      <c r="G47" s="179"/>
      <c r="H47" s="8"/>
      <c r="J47" s="422"/>
      <c r="K47" s="1"/>
      <c r="L47" s="479"/>
      <c r="M47" s="479"/>
      <c r="N47" s="479"/>
      <c r="O47" s="479"/>
      <c r="P47" s="319"/>
      <c r="Q47" s="479"/>
      <c r="R47" s="47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79"/>
      <c r="AG47" s="479"/>
      <c r="AH47" s="479"/>
      <c r="AI47" s="479"/>
      <c r="AJ47" s="479"/>
      <c r="AK47" s="479"/>
      <c r="AL47" s="479"/>
    </row>
    <row r="48" spans="1:38" ht="12.75" customHeight="1">
      <c r="B48" s="371"/>
      <c r="C48" s="372" t="s">
        <v>189</v>
      </c>
      <c r="D48" s="372"/>
      <c r="E48" s="38"/>
      <c r="F48" s="400">
        <v>0</v>
      </c>
      <c r="G48" s="178" t="s">
        <v>235</v>
      </c>
      <c r="H48" s="8"/>
      <c r="I48" s="423"/>
      <c r="J48" s="424"/>
      <c r="K48" s="1"/>
      <c r="L48" s="479"/>
      <c r="M48" s="479"/>
      <c r="N48" s="479"/>
      <c r="O48" s="479"/>
      <c r="P48" s="319"/>
      <c r="Q48" s="479"/>
      <c r="R48" s="47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9"/>
      <c r="AK48" s="479"/>
      <c r="AL48" s="479"/>
    </row>
    <row r="49" spans="1:38" ht="12.75" customHeight="1">
      <c r="B49" s="371"/>
      <c r="C49" s="372" t="s">
        <v>190</v>
      </c>
      <c r="D49" s="372"/>
      <c r="E49" s="38"/>
      <c r="F49" s="369">
        <v>1</v>
      </c>
      <c r="G49" s="178" t="s">
        <v>236</v>
      </c>
      <c r="H49" s="8"/>
      <c r="I49" s="420"/>
      <c r="J49" s="425"/>
      <c r="K49" s="1"/>
      <c r="L49" s="479"/>
      <c r="M49" s="479"/>
      <c r="N49" s="479"/>
      <c r="O49" s="479"/>
      <c r="P49" s="319"/>
      <c r="Q49" s="47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</row>
    <row r="50" spans="1:38" ht="12.75" customHeight="1">
      <c r="B50" s="371"/>
      <c r="C50" s="372" t="s">
        <v>191</v>
      </c>
      <c r="D50" s="372"/>
      <c r="E50" s="38"/>
      <c r="F50" s="369">
        <v>2</v>
      </c>
      <c r="G50" s="178" t="s">
        <v>236</v>
      </c>
      <c r="H50" s="8"/>
      <c r="I50" s="420"/>
      <c r="J50" s="425"/>
      <c r="K50" s="1"/>
      <c r="L50" s="479"/>
      <c r="M50" s="479"/>
      <c r="N50" s="479"/>
      <c r="O50" s="479"/>
      <c r="P50" s="31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79"/>
      <c r="AI50" s="479"/>
      <c r="AJ50" s="479"/>
      <c r="AK50" s="479"/>
      <c r="AL50" s="479"/>
    </row>
    <row r="51" spans="1:38" ht="12.75" customHeight="1">
      <c r="B51" s="371"/>
      <c r="C51" s="372" t="s">
        <v>192</v>
      </c>
      <c r="D51" s="372"/>
      <c r="E51" s="38"/>
      <c r="F51" s="369">
        <v>0</v>
      </c>
      <c r="G51" s="178" t="s">
        <v>235</v>
      </c>
      <c r="H51" s="8"/>
      <c r="I51" s="418"/>
      <c r="J51" s="426"/>
      <c r="K51" s="1"/>
      <c r="L51" s="479"/>
      <c r="M51" s="479"/>
      <c r="N51" s="479"/>
      <c r="O51" s="479"/>
      <c r="P51" s="31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</row>
    <row r="52" spans="1:38" ht="4.5" customHeight="1">
      <c r="A52" s="18"/>
      <c r="B52" s="18"/>
      <c r="C52" s="181"/>
      <c r="D52" s="181"/>
      <c r="E52" s="181"/>
      <c r="F52" s="181"/>
      <c r="G52" s="181"/>
      <c r="H52" s="181"/>
      <c r="J52" s="251"/>
      <c r="K52" s="1"/>
      <c r="L52" s="479"/>
      <c r="M52" s="479"/>
      <c r="N52" s="479"/>
      <c r="O52" s="479"/>
      <c r="P52" s="319"/>
      <c r="Q52" s="47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79"/>
    </row>
    <row r="53" spans="1:38" ht="12.75" customHeight="1">
      <c r="B53" s="18" t="s">
        <v>44</v>
      </c>
      <c r="C53" s="180"/>
      <c r="D53" s="180"/>
      <c r="E53" s="181"/>
      <c r="F53" s="182">
        <f>SUM(F42:F51)</f>
        <v>17</v>
      </c>
      <c r="G53" s="181"/>
      <c r="H53" s="181"/>
      <c r="K53" s="1"/>
      <c r="L53" s="479"/>
      <c r="M53" s="479"/>
      <c r="N53" s="479"/>
      <c r="O53" s="479"/>
      <c r="P53" s="319"/>
      <c r="Q53" s="47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479"/>
      <c r="AK53" s="479"/>
      <c r="AL53" s="479"/>
    </row>
    <row r="54" spans="1:38" ht="12.95" customHeight="1">
      <c r="B54" s="18"/>
      <c r="C54" s="181"/>
      <c r="D54" s="181"/>
      <c r="E54" s="181"/>
      <c r="F54" s="181"/>
      <c r="G54" s="181"/>
      <c r="H54" s="181"/>
      <c r="J54" s="251"/>
      <c r="K54" s="1"/>
      <c r="L54" s="479"/>
      <c r="M54" s="479"/>
      <c r="N54" s="479"/>
      <c r="O54" s="479"/>
      <c r="P54" s="31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79"/>
    </row>
    <row r="55" spans="1:38" ht="12.95" customHeight="1">
      <c r="A55" s="174" t="s">
        <v>14</v>
      </c>
      <c r="B55" s="174"/>
      <c r="C55" s="173"/>
      <c r="D55" s="173"/>
      <c r="E55" s="173"/>
      <c r="F55" s="173"/>
      <c r="G55" s="173"/>
      <c r="H55" s="173"/>
      <c r="I55" s="259"/>
      <c r="J55" s="1"/>
      <c r="L55" s="479"/>
      <c r="M55" s="479"/>
      <c r="N55" s="479"/>
      <c r="O55" s="479"/>
      <c r="P55" s="319"/>
      <c r="Q55" s="47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</row>
    <row r="56" spans="1:38" ht="4.5" customHeight="1">
      <c r="A56" s="174"/>
      <c r="B56" s="174"/>
      <c r="C56" s="174"/>
      <c r="D56" s="174"/>
      <c r="J56" s="1"/>
      <c r="L56" s="479"/>
      <c r="M56" s="479"/>
      <c r="N56" s="479"/>
      <c r="O56" s="479"/>
      <c r="P56" s="319"/>
      <c r="Q56" s="47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</row>
    <row r="57" spans="1:38" ht="12.75" customHeight="1">
      <c r="A57" s="183" t="s">
        <v>11</v>
      </c>
      <c r="B57" s="183"/>
      <c r="F57" s="213">
        <f>J36</f>
        <v>32857000</v>
      </c>
      <c r="J57" s="1"/>
      <c r="L57" s="479"/>
      <c r="M57" s="479"/>
      <c r="N57" s="479"/>
      <c r="O57" s="479"/>
      <c r="P57" s="319"/>
      <c r="Q57" s="47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79"/>
      <c r="AK57" s="479"/>
      <c r="AL57" s="479"/>
    </row>
    <row r="58" spans="1:38" ht="4.1500000000000004" customHeight="1">
      <c r="A58" s="18"/>
      <c r="B58" s="18"/>
      <c r="C58" s="18"/>
      <c r="D58" s="18"/>
      <c r="E58" s="18"/>
      <c r="F58" s="180"/>
      <c r="J58"/>
      <c r="L58" s="479"/>
      <c r="M58" s="479"/>
      <c r="N58" s="479"/>
      <c r="O58" s="479"/>
      <c r="P58" s="31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</row>
    <row r="59" spans="1:38" ht="12.75" customHeight="1">
      <c r="A59" s="18" t="s">
        <v>193</v>
      </c>
      <c r="B59" s="18"/>
      <c r="F59" s="104">
        <f>0.0188*F53+1.0219</f>
        <v>1.34</v>
      </c>
      <c r="G59" s="482" t="str">
        <f>IF(J36&lt;2000000,"! gemäß PS.9 (3): Wenn die Bemessungsgrundlage niedriger ist als 2 Mio. €, sollte der Ermittlungsweg über Abschätzung des Büro- / Personalaufwandes gewählt werden","")</f>
        <v/>
      </c>
      <c r="H59" s="482"/>
      <c r="I59" s="482"/>
      <c r="J59" s="482"/>
      <c r="L59" s="479"/>
      <c r="M59" s="479"/>
      <c r="N59" s="479"/>
      <c r="O59" s="479"/>
      <c r="P59" s="31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</row>
    <row r="60" spans="1:38" ht="4.1500000000000004" customHeight="1">
      <c r="A60" s="18"/>
      <c r="B60" s="18"/>
      <c r="F60" s="29"/>
      <c r="G60" s="482"/>
      <c r="H60" s="482"/>
      <c r="I60" s="482"/>
      <c r="J60" s="482"/>
      <c r="L60" s="479"/>
      <c r="M60" s="479"/>
      <c r="N60" s="479"/>
      <c r="O60" s="479"/>
      <c r="P60" s="319"/>
      <c r="Q60" s="47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</row>
    <row r="61" spans="1:38" ht="12.75" customHeight="1">
      <c r="A61" s="24" t="s">
        <v>194</v>
      </c>
      <c r="B61" s="18"/>
      <c r="F61" s="373">
        <f>ROUND((-0.249*LN(F57)+6.47)*F59/100,6)</f>
        <v>2.8948999999999999E-2</v>
      </c>
      <c r="G61" s="482"/>
      <c r="H61" s="482"/>
      <c r="I61" s="482"/>
      <c r="J61" s="482"/>
      <c r="L61" s="479"/>
      <c r="M61" s="479"/>
      <c r="N61" s="479"/>
      <c r="O61" s="479"/>
      <c r="P61" s="319"/>
      <c r="Q61" s="47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</row>
    <row r="62" spans="1:38" ht="12.75" customHeight="1">
      <c r="A62" s="18" t="s">
        <v>195</v>
      </c>
      <c r="B62" s="374"/>
      <c r="F62" s="375">
        <v>0</v>
      </c>
      <c r="G62" s="482"/>
      <c r="H62" s="482"/>
      <c r="I62" s="482"/>
      <c r="J62" s="482"/>
      <c r="L62" s="479"/>
      <c r="M62" s="479"/>
      <c r="N62" s="479"/>
      <c r="O62" s="479"/>
      <c r="P62" s="31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</row>
    <row r="63" spans="1:38" ht="4.1500000000000004" customHeight="1">
      <c r="A63" s="18"/>
      <c r="B63" s="18"/>
      <c r="F63" s="184"/>
      <c r="G63" s="184"/>
      <c r="H63" s="184"/>
      <c r="J63"/>
      <c r="L63" s="479"/>
      <c r="M63" s="479"/>
      <c r="N63" s="479"/>
      <c r="O63" s="479"/>
      <c r="P63" s="319"/>
      <c r="Q63" s="47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79"/>
      <c r="AL63" s="479"/>
    </row>
    <row r="64" spans="1:38" ht="15" customHeight="1">
      <c r="A64" s="21" t="s">
        <v>196</v>
      </c>
      <c r="B64" s="19"/>
      <c r="C64" s="185"/>
      <c r="D64" s="185"/>
      <c r="E64" s="185"/>
      <c r="F64" s="186"/>
      <c r="G64" s="262">
        <f>F61*F57*(1+F62)</f>
        <v>951177</v>
      </c>
      <c r="H64" s="186"/>
      <c r="I64" s="186"/>
      <c r="L64" s="480"/>
      <c r="M64" s="480"/>
      <c r="N64" s="480"/>
      <c r="O64" s="480"/>
      <c r="P64" s="319"/>
      <c r="Q64" s="480"/>
      <c r="R64" s="480"/>
      <c r="S64" s="480"/>
      <c r="T64" s="480"/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0"/>
      <c r="AG64" s="480"/>
      <c r="AH64" s="480"/>
      <c r="AI64" s="480"/>
      <c r="AJ64" s="480"/>
      <c r="AK64" s="480"/>
      <c r="AL64" s="480"/>
    </row>
    <row r="65" spans="1:38" ht="4.1500000000000004" customHeight="1">
      <c r="A65" s="24"/>
      <c r="B65" s="18"/>
      <c r="C65" s="173"/>
      <c r="D65" s="173"/>
      <c r="E65" s="173"/>
      <c r="F65" s="187"/>
      <c r="G65" s="187"/>
      <c r="H65" s="187"/>
      <c r="J65" s="30"/>
      <c r="L65" s="491" t="s">
        <v>147</v>
      </c>
      <c r="M65" s="489"/>
      <c r="N65" s="489"/>
      <c r="O65" s="489"/>
      <c r="P65" s="333"/>
      <c r="Q65" s="489" t="s">
        <v>209</v>
      </c>
      <c r="R65" s="489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 t="s">
        <v>209</v>
      </c>
      <c r="AD65" s="489"/>
      <c r="AE65" s="489"/>
      <c r="AF65" s="489"/>
      <c r="AG65" s="489"/>
      <c r="AH65" s="489"/>
      <c r="AI65" s="489"/>
      <c r="AJ65" s="489"/>
      <c r="AK65" s="489"/>
      <c r="AL65" s="489"/>
    </row>
    <row r="66" spans="1:38" ht="12.95" customHeight="1">
      <c r="A66" s="24"/>
      <c r="B66" s="18"/>
      <c r="C66" s="173"/>
      <c r="D66" s="376" t="s">
        <v>128</v>
      </c>
      <c r="E66" s="301" t="s">
        <v>134</v>
      </c>
      <c r="F66" s="175" t="s">
        <v>5</v>
      </c>
      <c r="G66" s="187"/>
      <c r="H66" s="376"/>
      <c r="I66" s="179"/>
      <c r="J66" s="377"/>
      <c r="L66" s="492"/>
      <c r="M66" s="490"/>
      <c r="N66" s="490"/>
      <c r="O66" s="490"/>
      <c r="P66" s="324"/>
      <c r="Q66" s="490"/>
      <c r="R66" s="490"/>
      <c r="S66" s="490"/>
      <c r="T66" s="490"/>
      <c r="U66" s="490"/>
      <c r="V66" s="490"/>
      <c r="W66" s="490"/>
      <c r="X66" s="490"/>
      <c r="Y66" s="490"/>
      <c r="Z66" s="490"/>
      <c r="AA66" s="490"/>
      <c r="AB66" s="490"/>
      <c r="AC66" s="490"/>
      <c r="AD66" s="490"/>
      <c r="AE66" s="490"/>
      <c r="AF66" s="490"/>
      <c r="AG66" s="490"/>
      <c r="AH66" s="490"/>
      <c r="AI66" s="490"/>
      <c r="AJ66" s="490"/>
      <c r="AK66" s="490"/>
      <c r="AL66" s="490"/>
    </row>
    <row r="67" spans="1:38" ht="12.75" customHeight="1">
      <c r="A67" s="18" t="s">
        <v>197</v>
      </c>
      <c r="B67" s="173"/>
      <c r="D67" s="281">
        <v>0.19</v>
      </c>
      <c r="E67" s="302">
        <f>D67+L67</f>
        <v>0.19</v>
      </c>
      <c r="F67" s="378">
        <f>E67</f>
        <v>0.19</v>
      </c>
      <c r="G67" s="257">
        <f>IF($G$64=0,"-",$G$64*F67)</f>
        <v>180724</v>
      </c>
      <c r="H67" s="379"/>
      <c r="I67" s="257"/>
      <c r="J67" s="257"/>
      <c r="L67" s="329">
        <f>SUMIF($M$65:$AL$65,"*",M67:AL67)</f>
        <v>0</v>
      </c>
      <c r="M67" s="399"/>
      <c r="N67" s="399"/>
      <c r="O67" s="399"/>
      <c r="P67" s="330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</row>
    <row r="68" spans="1:38" ht="12.75" customHeight="1">
      <c r="A68" s="18" t="s">
        <v>198</v>
      </c>
      <c r="B68" s="173"/>
      <c r="D68" s="281">
        <v>0.21</v>
      </c>
      <c r="E68" s="302">
        <f>D68+L68</f>
        <v>0.24</v>
      </c>
      <c r="F68" s="380">
        <f>E68</f>
        <v>0.24</v>
      </c>
      <c r="G68" s="257">
        <f>IF($G$64=0,"-",$G$64*F68)</f>
        <v>228282</v>
      </c>
      <c r="H68" s="381"/>
      <c r="I68" s="257"/>
      <c r="J68" s="257"/>
      <c r="L68" s="329">
        <f>SUMIF($M$65:$AL$65,"*",M68:AL68)</f>
        <v>0.03</v>
      </c>
      <c r="M68" s="399"/>
      <c r="N68" s="399"/>
      <c r="O68" s="399"/>
      <c r="P68" s="330"/>
      <c r="Q68" s="399">
        <v>0.03</v>
      </c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</row>
    <row r="69" spans="1:38" ht="12.75" customHeight="1">
      <c r="A69" s="18" t="s">
        <v>199</v>
      </c>
      <c r="B69" s="173"/>
      <c r="D69" s="281">
        <v>0.22</v>
      </c>
      <c r="E69" s="302">
        <f>D69+L69</f>
        <v>0.25</v>
      </c>
      <c r="F69" s="380">
        <f>E69</f>
        <v>0.25</v>
      </c>
      <c r="G69" s="257">
        <f>IF($G$64=0,"-",$G$64*F69)</f>
        <v>237794</v>
      </c>
      <c r="H69" s="381"/>
      <c r="I69" s="257"/>
      <c r="J69" s="257"/>
      <c r="L69" s="329">
        <f>SUMIF($M$65:$AL$65,"*",M69:AL69)</f>
        <v>0.03</v>
      </c>
      <c r="M69" s="399"/>
      <c r="N69" s="399"/>
      <c r="O69" s="399"/>
      <c r="P69" s="330"/>
      <c r="Q69" s="399">
        <v>0.03</v>
      </c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</row>
    <row r="70" spans="1:38" ht="12.75" customHeight="1">
      <c r="A70" s="18" t="s">
        <v>200</v>
      </c>
      <c r="B70" s="173"/>
      <c r="D70" s="281">
        <v>0.3</v>
      </c>
      <c r="E70" s="302">
        <f>D70+L70</f>
        <v>0.3</v>
      </c>
      <c r="F70" s="380">
        <f>E70</f>
        <v>0.3</v>
      </c>
      <c r="G70" s="257">
        <f>IF($G$64=0,"-",$G$64*F70)</f>
        <v>285353</v>
      </c>
      <c r="H70" s="381"/>
      <c r="I70" s="257"/>
      <c r="J70" s="257"/>
      <c r="L70" s="329">
        <f>SUMIF($M$65:$AL$65,"*",M70:AL70)</f>
        <v>0</v>
      </c>
      <c r="M70" s="399"/>
      <c r="N70" s="399"/>
      <c r="O70" s="399"/>
      <c r="P70" s="330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>
        <v>0</v>
      </c>
      <c r="AD70" s="399"/>
      <c r="AE70" s="399"/>
      <c r="AF70" s="399"/>
      <c r="AG70" s="399"/>
      <c r="AH70" s="399"/>
      <c r="AI70" s="399"/>
      <c r="AJ70" s="399"/>
      <c r="AK70" s="399"/>
      <c r="AL70" s="399"/>
    </row>
    <row r="71" spans="1:38" ht="12.75" customHeight="1">
      <c r="A71" s="19" t="s">
        <v>201</v>
      </c>
      <c r="B71" s="185"/>
      <c r="C71" s="37"/>
      <c r="D71" s="282">
        <v>0.08</v>
      </c>
      <c r="E71" s="282">
        <f>D71+L71</f>
        <v>0.08</v>
      </c>
      <c r="F71" s="382">
        <f>E71</f>
        <v>0.08</v>
      </c>
      <c r="G71" s="257">
        <f>IF($G$64=0,"-",$G$64*F71)</f>
        <v>76094</v>
      </c>
      <c r="H71" s="384"/>
      <c r="I71" s="257"/>
      <c r="J71" s="257"/>
      <c r="L71" s="329">
        <f>SUMIF($M$65:$AL$65,"*",M71:AL71)</f>
        <v>0</v>
      </c>
      <c r="M71" s="399"/>
      <c r="N71" s="399"/>
      <c r="O71" s="399"/>
      <c r="P71" s="330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</row>
    <row r="72" spans="1:38" s="16" customFormat="1" ht="18.600000000000001" customHeight="1">
      <c r="A72" s="385" t="s">
        <v>202</v>
      </c>
      <c r="B72" s="385"/>
      <c r="C72" s="385"/>
      <c r="D72" s="404"/>
      <c r="E72" s="404"/>
      <c r="F72" s="386">
        <f>SUM(F67:F71)</f>
        <v>1.06</v>
      </c>
      <c r="G72" s="388">
        <f>SUM(G67:G71)</f>
        <v>1008247</v>
      </c>
      <c r="I72" s="388"/>
      <c r="J72" s="388">
        <f>G72</f>
        <v>1008247</v>
      </c>
      <c r="L72" s="338">
        <f>SUM(L67:L71)</f>
        <v>0.06</v>
      </c>
      <c r="M72" s="338">
        <f>SUM(M67:M71)</f>
        <v>0</v>
      </c>
      <c r="N72" s="338">
        <f>SUM(N67:N71)</f>
        <v>0</v>
      </c>
      <c r="O72" s="338">
        <f>SUM(O67:O71)</f>
        <v>0</v>
      </c>
      <c r="P72" s="338"/>
      <c r="Q72" s="338">
        <f t="shared" ref="Q72:AL72" si="0">SUM(Q67:Q71)</f>
        <v>0.06</v>
      </c>
      <c r="R72" s="338">
        <f t="shared" si="0"/>
        <v>0</v>
      </c>
      <c r="S72" s="338">
        <f t="shared" si="0"/>
        <v>0</v>
      </c>
      <c r="T72" s="338">
        <f t="shared" si="0"/>
        <v>0</v>
      </c>
      <c r="U72" s="338">
        <f t="shared" si="0"/>
        <v>0</v>
      </c>
      <c r="V72" s="338">
        <f t="shared" si="0"/>
        <v>0</v>
      </c>
      <c r="W72" s="338">
        <f t="shared" si="0"/>
        <v>0</v>
      </c>
      <c r="X72" s="338">
        <f t="shared" si="0"/>
        <v>0</v>
      </c>
      <c r="Y72" s="338">
        <f t="shared" si="0"/>
        <v>0</v>
      </c>
      <c r="Z72" s="338">
        <f t="shared" si="0"/>
        <v>0</v>
      </c>
      <c r="AA72" s="338">
        <f t="shared" si="0"/>
        <v>0</v>
      </c>
      <c r="AB72" s="338">
        <f t="shared" si="0"/>
        <v>0</v>
      </c>
      <c r="AC72" s="338">
        <f t="shared" si="0"/>
        <v>0</v>
      </c>
      <c r="AD72" s="338">
        <f t="shared" si="0"/>
        <v>0</v>
      </c>
      <c r="AE72" s="338">
        <f t="shared" si="0"/>
        <v>0</v>
      </c>
      <c r="AF72" s="338">
        <f t="shared" si="0"/>
        <v>0</v>
      </c>
      <c r="AG72" s="338">
        <f t="shared" si="0"/>
        <v>0</v>
      </c>
      <c r="AH72" s="338">
        <f t="shared" si="0"/>
        <v>0</v>
      </c>
      <c r="AI72" s="338">
        <f t="shared" si="0"/>
        <v>0</v>
      </c>
      <c r="AJ72" s="338">
        <f t="shared" si="0"/>
        <v>0</v>
      </c>
      <c r="AK72" s="338">
        <f t="shared" si="0"/>
        <v>0</v>
      </c>
      <c r="AL72" s="338">
        <f t="shared" si="0"/>
        <v>0</v>
      </c>
    </row>
    <row r="73" spans="1:38" ht="12.75" customHeight="1">
      <c r="A73" s="185" t="s">
        <v>230</v>
      </c>
      <c r="B73" s="173"/>
      <c r="C73" s="173"/>
      <c r="D73" s="281">
        <v>0.01</v>
      </c>
      <c r="E73" s="412"/>
      <c r="F73" s="380">
        <v>0.01</v>
      </c>
      <c r="G73" s="257">
        <f>IF($G$64=0,"-",$G$64*F73)</f>
        <v>9512</v>
      </c>
      <c r="I73" s="1"/>
      <c r="J73" s="194"/>
      <c r="K73" s="1"/>
      <c r="L73" s="402"/>
      <c r="M73" s="403"/>
      <c r="N73" s="403"/>
      <c r="O73" s="403"/>
      <c r="P73" s="191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403"/>
      <c r="AH73" s="403"/>
      <c r="AI73" s="403"/>
      <c r="AJ73" s="403"/>
      <c r="AK73" s="403"/>
      <c r="AL73" s="403"/>
    </row>
    <row r="74" spans="1:38" ht="12.75" customHeight="1">
      <c r="A74" s="185" t="s">
        <v>216</v>
      </c>
      <c r="B74" s="185"/>
      <c r="C74" s="185"/>
      <c r="D74" s="282">
        <v>0.04</v>
      </c>
      <c r="E74" s="389"/>
      <c r="F74" s="390">
        <v>0.04</v>
      </c>
      <c r="G74" s="383">
        <f>$G$64*F74</f>
        <v>38047</v>
      </c>
      <c r="H74" s="37"/>
      <c r="I74" s="37"/>
      <c r="J74" s="391"/>
      <c r="K74" s="1"/>
      <c r="L74" s="402"/>
      <c r="M74" s="403"/>
      <c r="N74" s="403"/>
      <c r="O74" s="403"/>
      <c r="P74" s="191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  <c r="AJ74" s="403"/>
      <c r="AK74" s="403"/>
      <c r="AL74" s="403"/>
    </row>
    <row r="75" spans="1:38" ht="12.75" customHeight="1">
      <c r="A75" s="190" t="s">
        <v>203</v>
      </c>
      <c r="B75" s="392"/>
      <c r="C75" s="18"/>
      <c r="D75" s="18"/>
      <c r="F75" s="191">
        <f>SUM(F72:F74)</f>
        <v>1.1100000000000001</v>
      </c>
      <c r="G75" s="387">
        <f>SUM(G72:G74)</f>
        <v>1055806</v>
      </c>
      <c r="I75" s="191"/>
      <c r="J75" s="103">
        <f>G75</f>
        <v>1055806</v>
      </c>
      <c r="K75" s="1"/>
      <c r="L75" s="402"/>
      <c r="M75" s="403"/>
      <c r="N75" s="403"/>
      <c r="O75" s="403"/>
      <c r="P75" s="191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3"/>
      <c r="AJ75" s="403"/>
      <c r="AK75" s="403"/>
      <c r="AL75" s="403"/>
    </row>
    <row r="76" spans="1:38" ht="12.75" customHeight="1">
      <c r="A76" s="190"/>
      <c r="B76" s="18"/>
      <c r="E76" s="191"/>
      <c r="F76" s="191"/>
      <c r="G76" s="194"/>
      <c r="H76" s="8"/>
      <c r="J76" s="377"/>
      <c r="K76" s="1"/>
      <c r="L76" s="402"/>
      <c r="M76" s="403"/>
      <c r="N76" s="403"/>
      <c r="O76" s="403"/>
      <c r="P76" s="191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03"/>
      <c r="AF76" s="403"/>
      <c r="AG76" s="403"/>
      <c r="AH76" s="403"/>
      <c r="AI76" s="403"/>
      <c r="AJ76" s="403"/>
      <c r="AK76" s="403"/>
      <c r="AL76" s="403"/>
    </row>
    <row r="77" spans="1:38" ht="12.75" customHeight="1">
      <c r="A77" s="34" t="s">
        <v>102</v>
      </c>
      <c r="F77" s="393">
        <v>0</v>
      </c>
      <c r="G77" s="244">
        <v>0</v>
      </c>
      <c r="H77" s="394"/>
      <c r="J77" s="395">
        <f>F77*G77</f>
        <v>0</v>
      </c>
      <c r="L77" s="402"/>
      <c r="M77" s="403"/>
      <c r="N77" s="403"/>
      <c r="O77" s="403"/>
      <c r="P77" s="191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  <c r="AE77" s="403"/>
      <c r="AF77" s="403"/>
      <c r="AG77" s="403"/>
      <c r="AH77" s="403"/>
      <c r="AI77" s="403"/>
      <c r="AJ77" s="403"/>
      <c r="AK77" s="403"/>
      <c r="AL77" s="403"/>
    </row>
    <row r="78" spans="1:38" ht="4.1500000000000004" customHeight="1">
      <c r="J78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</row>
    <row r="79" spans="1:38" s="24" customFormat="1" ht="12.75">
      <c r="A79" s="98" t="s">
        <v>204</v>
      </c>
      <c r="B79" s="99"/>
      <c r="C79" s="100"/>
      <c r="D79" s="100"/>
      <c r="E79" s="102"/>
      <c r="F79" s="101"/>
      <c r="G79" s="101"/>
      <c r="H79" s="101"/>
      <c r="I79" s="101"/>
      <c r="J79" s="103">
        <f>SUM(J75:J77)</f>
        <v>1055806</v>
      </c>
      <c r="L79" s="402"/>
      <c r="M79" s="403"/>
      <c r="N79" s="403"/>
      <c r="O79" s="403"/>
      <c r="P79" s="191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  <c r="AE79" s="403"/>
      <c r="AF79" s="403"/>
      <c r="AG79" s="403"/>
      <c r="AH79" s="403"/>
      <c r="AI79" s="403"/>
      <c r="AJ79" s="403"/>
      <c r="AK79" s="403"/>
      <c r="AL79" s="403"/>
    </row>
    <row r="80" spans="1:38" s="24" customFormat="1" ht="4.5" customHeight="1">
      <c r="B80" s="25"/>
      <c r="C80" s="26"/>
      <c r="D80" s="26"/>
      <c r="E80" s="50"/>
      <c r="F80" s="51"/>
      <c r="G80" s="51"/>
      <c r="H80" s="51"/>
      <c r="J80" s="95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  <c r="AJ80" s="402"/>
      <c r="AK80" s="402"/>
      <c r="AL80" s="402"/>
    </row>
    <row r="81" spans="1:38" s="24" customFormat="1">
      <c r="A81" s="52" t="s">
        <v>12</v>
      </c>
      <c r="B81" s="25"/>
      <c r="C81" s="26"/>
      <c r="D81" s="26"/>
      <c r="E81" s="50"/>
      <c r="F81" s="396">
        <v>0.04</v>
      </c>
      <c r="G81" s="51"/>
      <c r="H81" s="51"/>
      <c r="J81" s="95">
        <f>ROUND(J79*F81,2)</f>
        <v>42232</v>
      </c>
      <c r="L81" s="284"/>
      <c r="M81" s="284"/>
      <c r="N81" s="28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s="24" customFormat="1" ht="3" customHeight="1">
      <c r="A82" s="53"/>
      <c r="B82" s="54"/>
      <c r="C82" s="55"/>
      <c r="D82" s="55"/>
      <c r="E82" s="59"/>
      <c r="F82" s="238"/>
      <c r="G82" s="67"/>
      <c r="H82" s="67"/>
      <c r="I82" s="53"/>
      <c r="J82" s="97"/>
      <c r="L82" s="284"/>
      <c r="M82" s="284"/>
      <c r="N82" s="28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s="24" customFormat="1" ht="3" customHeight="1">
      <c r="B83" s="25"/>
      <c r="C83" s="26"/>
      <c r="D83" s="26"/>
      <c r="E83" s="60"/>
      <c r="F83" s="239"/>
      <c r="G83" s="68"/>
      <c r="H83" s="68"/>
      <c r="I83" s="61"/>
      <c r="J83" s="95"/>
      <c r="L83" s="284"/>
      <c r="M83" s="284"/>
      <c r="N83" s="28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s="24" customFormat="1" ht="12.75">
      <c r="A84" s="56" t="s">
        <v>205</v>
      </c>
      <c r="B84" s="57"/>
      <c r="C84" s="58"/>
      <c r="D84" s="58"/>
      <c r="E84" s="27"/>
      <c r="F84" s="236"/>
      <c r="G84" s="51"/>
      <c r="H84" s="51"/>
      <c r="J84" s="96">
        <f>J79+J81</f>
        <v>1098038</v>
      </c>
      <c r="L84" s="62"/>
      <c r="M84" s="63"/>
      <c r="N84" s="64"/>
    </row>
    <row r="85" spans="1:38" s="24" customFormat="1" ht="12.75">
      <c r="A85" s="24" t="s">
        <v>13</v>
      </c>
      <c r="B85" s="25"/>
      <c r="C85" s="26"/>
      <c r="D85" s="26"/>
      <c r="E85" s="27"/>
      <c r="F85" s="28">
        <v>0.2</v>
      </c>
      <c r="G85" s="28"/>
      <c r="H85" s="28"/>
      <c r="J85" s="95">
        <f>ROUND(J84*F85,2)</f>
        <v>219608</v>
      </c>
      <c r="M85" s="25"/>
      <c r="N85" s="26"/>
    </row>
    <row r="86" spans="1:38" s="24" customFormat="1" ht="3" customHeight="1">
      <c r="B86" s="25"/>
      <c r="C86" s="26"/>
      <c r="D86" s="26"/>
      <c r="E86" s="27"/>
      <c r="F86" s="236"/>
      <c r="G86" s="51"/>
      <c r="H86" s="51"/>
      <c r="J86" s="95"/>
      <c r="L86" s="52"/>
      <c r="M86" s="25"/>
      <c r="N86" s="26"/>
    </row>
    <row r="87" spans="1:38" s="24" customFormat="1" ht="12.75">
      <c r="A87" s="202" t="s">
        <v>206</v>
      </c>
      <c r="B87" s="214"/>
      <c r="C87" s="203"/>
      <c r="D87" s="203"/>
      <c r="E87" s="205"/>
      <c r="F87" s="206"/>
      <c r="G87" s="206"/>
      <c r="H87" s="206"/>
      <c r="I87" s="204"/>
      <c r="J87" s="207">
        <f>SUM(J83:J85)</f>
        <v>1317646</v>
      </c>
      <c r="M87" s="25"/>
      <c r="N87" s="26"/>
    </row>
    <row r="88" spans="1:38" ht="5.0999999999999996" customHeight="1">
      <c r="L88" s="24"/>
      <c r="M88" s="25"/>
      <c r="N88" s="26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1:38" ht="12.75">
      <c r="A89" s="216" t="s">
        <v>86</v>
      </c>
      <c r="B89" s="397"/>
      <c r="C89" s="34"/>
      <c r="D89" s="34"/>
      <c r="E89" s="34"/>
      <c r="F89" s="261">
        <f>J84/F32</f>
        <v>3.1489000000000003E-2</v>
      </c>
      <c r="G89" s="34"/>
      <c r="H89" s="34"/>
      <c r="I89" s="398"/>
      <c r="J89" s="46"/>
      <c r="L89" s="56"/>
      <c r="M89" s="57"/>
      <c r="N89" s="58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8" ht="12.75">
      <c r="L90" s="24"/>
      <c r="M90" s="25"/>
      <c r="N90" s="28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</row>
    <row r="91" spans="1:38" ht="12.75">
      <c r="L91" s="24"/>
      <c r="M91" s="25"/>
      <c r="N91" s="26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1:38" ht="12.75">
      <c r="L92" s="56"/>
      <c r="M92" s="57"/>
      <c r="N92" s="58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</row>
    <row r="94" spans="1:38" ht="12.75">
      <c r="L94" s="288"/>
      <c r="M94" s="288"/>
      <c r="N94" s="288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</row>
  </sheetData>
  <sheetProtection algorithmName="SHA-512" hashValue="4y9+F+ZlDhqN3qKL6NUzQ4mxO21LSlJ4JyIiSUB6mdM5v2XsuxxhSYtlHBIOe8yO54foxw8htq+cG53gFhHlyQ==" saltValue="r7kyu5r6Wn3r35PXicIcEA==" spinCount="100000" sheet="1"/>
  <mergeCells count="79">
    <mergeCell ref="R65:R66"/>
    <mergeCell ref="AL65:AL66"/>
    <mergeCell ref="AE20:AK20"/>
    <mergeCell ref="AE22:AK22"/>
    <mergeCell ref="A15:B15"/>
    <mergeCell ref="V65:V66"/>
    <mergeCell ref="W65:W66"/>
    <mergeCell ref="X65:X66"/>
    <mergeCell ref="AI65:AI66"/>
    <mergeCell ref="AJ65:AJ66"/>
    <mergeCell ref="AL42:AL64"/>
    <mergeCell ref="AE65:AE66"/>
    <mergeCell ref="AF65:AF66"/>
    <mergeCell ref="AG65:AG66"/>
    <mergeCell ref="AH65:AH66"/>
    <mergeCell ref="AD65:AD66"/>
    <mergeCell ref="L65:L66"/>
    <mergeCell ref="M65:M66"/>
    <mergeCell ref="N65:N66"/>
    <mergeCell ref="O65:O66"/>
    <mergeCell ref="Q65:Q66"/>
    <mergeCell ref="S65:S66"/>
    <mergeCell ref="T65:T66"/>
    <mergeCell ref="AK65:AK66"/>
    <mergeCell ref="U65:U66"/>
    <mergeCell ref="AD42:AD64"/>
    <mergeCell ref="AE42:AE64"/>
    <mergeCell ref="AF42:AF64"/>
    <mergeCell ref="AI42:AI64"/>
    <mergeCell ref="AJ42:AJ64"/>
    <mergeCell ref="AC65:AC66"/>
    <mergeCell ref="Y65:Y66"/>
    <mergeCell ref="Z65:Z66"/>
    <mergeCell ref="AA65:AA66"/>
    <mergeCell ref="AB65:AB66"/>
    <mergeCell ref="AG42:AG64"/>
    <mergeCell ref="AH42:AH64"/>
    <mergeCell ref="A11:B11"/>
    <mergeCell ref="A9:B9"/>
    <mergeCell ref="A7:B7"/>
    <mergeCell ref="AE21:AK21"/>
    <mergeCell ref="AE9:AK9"/>
    <mergeCell ref="AE11:AK11"/>
    <mergeCell ref="AE13:AK13"/>
    <mergeCell ref="AE15:AK15"/>
    <mergeCell ref="AE17:AK17"/>
    <mergeCell ref="AE19:AK19"/>
    <mergeCell ref="A13:B13"/>
    <mergeCell ref="A20:B20"/>
    <mergeCell ref="AK42:AK64"/>
    <mergeCell ref="T42:T64"/>
    <mergeCell ref="U42:U64"/>
    <mergeCell ref="V42:V64"/>
    <mergeCell ref="AA42:AA64"/>
    <mergeCell ref="AB42:AB64"/>
    <mergeCell ref="AC42:AC64"/>
    <mergeCell ref="Y42:Y64"/>
    <mergeCell ref="Z42:Z64"/>
    <mergeCell ref="W42:W64"/>
    <mergeCell ref="X42:X64"/>
    <mergeCell ref="AC3:AD4"/>
    <mergeCell ref="AE3:AK4"/>
    <mergeCell ref="AC5:AD6"/>
    <mergeCell ref="AE5:AH6"/>
    <mergeCell ref="AC7:AD8"/>
    <mergeCell ref="AE7:AK8"/>
    <mergeCell ref="A22:B22"/>
    <mergeCell ref="A28:B28"/>
    <mergeCell ref="A30:B30"/>
    <mergeCell ref="I41:J41"/>
    <mergeCell ref="Q42:Q64"/>
    <mergeCell ref="R42:R64"/>
    <mergeCell ref="S42:S64"/>
    <mergeCell ref="I2:J2"/>
    <mergeCell ref="L42:L64"/>
    <mergeCell ref="M42:M64"/>
    <mergeCell ref="N42:N64"/>
    <mergeCell ref="O42:O64"/>
    <mergeCell ref="G59:J62"/>
  </mergeCells>
  <conditionalFormatting sqref="M65:O66">
    <cfRule type="containsText" dxfId="27" priority="7" stopIfTrue="1" operator="containsText" text="x">
      <formula>NOT(ISERROR(SEARCH("x",M65)))</formula>
    </cfRule>
  </conditionalFormatting>
  <conditionalFormatting sqref="M67:O71">
    <cfRule type="expression" dxfId="26" priority="4" stopIfTrue="1">
      <formula>IF(M$65="x",TRUE())</formula>
    </cfRule>
  </conditionalFormatting>
  <conditionalFormatting sqref="Q65:AL66">
    <cfRule type="containsText" dxfId="25" priority="2" stopIfTrue="1" operator="containsText" text="x">
      <formula>NOT(ISERROR(SEARCH("x",Q65)))</formula>
    </cfRule>
  </conditionalFormatting>
  <conditionalFormatting sqref="Q67:AL71">
    <cfRule type="expression" dxfId="24" priority="1" stopIfTrue="1">
      <formula>IF(Q$65="x",TRUE())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0" pageOrder="overThenDown" orientation="landscape" r:id="rId1"/>
  <headerFooter>
    <oddHeader>&amp;L&amp;"Arial,Fett"&amp;K01+019Angebot Generalplaner gesamt  (GP 2b + Planung + ÖBA) mit BIM
&amp;"Arial,Standard"(TA Anlagengruppen gesamt)&amp;R&amp;"Arial,Standard"&amp;K01+020Version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533" r:id="rId4" name="Scroll Bar 453">
              <controlPr defaultSize="0" autoPict="0">
                <anchor moveWithCells="1">
                  <from>
                    <xdr:col>8</xdr:col>
                    <xdr:colOff>9525</xdr:colOff>
                    <xdr:row>41</xdr:row>
                    <xdr:rowOff>28575</xdr:rowOff>
                  </from>
                  <to>
                    <xdr:col>9</xdr:col>
                    <xdr:colOff>1123950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4" r:id="rId5" name="Scroll Bar 454">
              <controlPr defaultSize="0" autoPict="0">
                <anchor moveWithCells="1">
                  <from>
                    <xdr:col>8</xdr:col>
                    <xdr:colOff>19050</xdr:colOff>
                    <xdr:row>42</xdr:row>
                    <xdr:rowOff>28575</xdr:rowOff>
                  </from>
                  <to>
                    <xdr:col>9</xdr:col>
                    <xdr:colOff>1123950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5" r:id="rId6" name="Scroll Bar 455">
              <controlPr defaultSize="0" autoPict="0">
                <anchor moveWithCells="1">
                  <from>
                    <xdr:col>8</xdr:col>
                    <xdr:colOff>19050</xdr:colOff>
                    <xdr:row>43</xdr:row>
                    <xdr:rowOff>28575</xdr:rowOff>
                  </from>
                  <to>
                    <xdr:col>9</xdr:col>
                    <xdr:colOff>1123950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6" r:id="rId7" name="Scroll Bar 456">
              <controlPr defaultSize="0" autoPict="0">
                <anchor moveWithCells="1">
                  <from>
                    <xdr:col>8</xdr:col>
                    <xdr:colOff>19050</xdr:colOff>
                    <xdr:row>44</xdr:row>
                    <xdr:rowOff>28575</xdr:rowOff>
                  </from>
                  <to>
                    <xdr:col>9</xdr:col>
                    <xdr:colOff>1123950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7" r:id="rId8" name="Scroll Bar 457">
              <controlPr defaultSize="0" autoPict="0">
                <anchor moveWithCells="1">
                  <from>
                    <xdr:col>8</xdr:col>
                    <xdr:colOff>19050</xdr:colOff>
                    <xdr:row>45</xdr:row>
                    <xdr:rowOff>28575</xdr:rowOff>
                  </from>
                  <to>
                    <xdr:col>9</xdr:col>
                    <xdr:colOff>1123950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8" r:id="rId9" name="Scroll Bar 458">
              <controlPr defaultSize="0" autoPict="0">
                <anchor moveWithCells="1">
                  <from>
                    <xdr:col>8</xdr:col>
                    <xdr:colOff>19050</xdr:colOff>
                    <xdr:row>47</xdr:row>
                    <xdr:rowOff>28575</xdr:rowOff>
                  </from>
                  <to>
                    <xdr:col>9</xdr:col>
                    <xdr:colOff>1123950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9" r:id="rId10" name="Scroll Bar 459">
              <controlPr defaultSize="0" autoPict="0">
                <anchor moveWithCells="1">
                  <from>
                    <xdr:col>8</xdr:col>
                    <xdr:colOff>19050</xdr:colOff>
                    <xdr:row>48</xdr:row>
                    <xdr:rowOff>28575</xdr:rowOff>
                  </from>
                  <to>
                    <xdr:col>9</xdr:col>
                    <xdr:colOff>1123950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0" r:id="rId11" name="Scroll Bar 460">
              <controlPr defaultSize="0" autoPict="0">
                <anchor moveWithCells="1">
                  <from>
                    <xdr:col>8</xdr:col>
                    <xdr:colOff>19050</xdr:colOff>
                    <xdr:row>49</xdr:row>
                    <xdr:rowOff>28575</xdr:rowOff>
                  </from>
                  <to>
                    <xdr:col>9</xdr:col>
                    <xdr:colOff>1114425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1" r:id="rId12" name="Scroll Bar 461">
              <controlPr defaultSize="0" autoPict="0">
                <anchor moveWithCells="1">
                  <from>
                    <xdr:col>8</xdr:col>
                    <xdr:colOff>19050</xdr:colOff>
                    <xdr:row>50</xdr:row>
                    <xdr:rowOff>28575</xdr:rowOff>
                  </from>
                  <to>
                    <xdr:col>9</xdr:col>
                    <xdr:colOff>1114425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2D050"/>
    <pageSetUpPr fitToPage="1"/>
  </sheetPr>
  <dimension ref="A1:AN101"/>
  <sheetViews>
    <sheetView showGridLines="0" topLeftCell="A4" zoomScaleNormal="100" workbookViewId="0">
      <selection activeCell="J7" sqref="J7"/>
    </sheetView>
  </sheetViews>
  <sheetFormatPr baseColWidth="10" defaultColWidth="11.5703125" defaultRowHeight="14.25"/>
  <cols>
    <col min="1" max="1" width="1.5703125" style="1" customWidth="1"/>
    <col min="2" max="2" width="2.28515625" style="7" customWidth="1"/>
    <col min="3" max="3" width="3.28515625" style="7" customWidth="1"/>
    <col min="4" max="4" width="36.140625" style="1" customWidth="1"/>
    <col min="5" max="5" width="8.85546875" style="1" customWidth="1"/>
    <col min="6" max="6" width="8" style="1" customWidth="1"/>
    <col min="7" max="7" width="15.7109375" style="1" customWidth="1"/>
    <col min="8" max="8" width="11.7109375" style="1" customWidth="1"/>
    <col min="9" max="9" width="8.140625" style="1" customWidth="1"/>
    <col min="10" max="10" width="8.85546875" style="8" customWidth="1" collapsed="1"/>
    <col min="11" max="11" width="15.7109375" style="9" customWidth="1"/>
    <col min="12" max="12" width="2.7109375" style="9" customWidth="1"/>
    <col min="13" max="13" width="7.28515625" style="284" customWidth="1"/>
    <col min="14" max="15" width="6.5703125" style="284" customWidth="1"/>
    <col min="16" max="16" width="6.5703125" style="1" customWidth="1"/>
    <col min="17" max="17" width="30.5703125" style="1" customWidth="1"/>
    <col min="18" max="18" width="6.5703125" style="1" customWidth="1"/>
    <col min="19" max="19" width="7.5703125" style="1" customWidth="1"/>
    <col min="20" max="39" width="6.5703125" style="1" customWidth="1"/>
    <col min="40" max="40" width="7.140625" style="1" customWidth="1"/>
    <col min="41" max="16384" width="11.5703125" style="1"/>
  </cols>
  <sheetData>
    <row r="1" spans="1:39" ht="5.0999999999999996" customHeight="1"/>
    <row r="2" spans="1:39" s="39" customFormat="1" ht="35.1" customHeight="1">
      <c r="A2" s="111" t="s">
        <v>87</v>
      </c>
      <c r="C2" s="7"/>
      <c r="G2" s="40"/>
      <c r="H2" s="40"/>
      <c r="I2" s="40"/>
      <c r="J2" s="496" t="s">
        <v>148</v>
      </c>
      <c r="K2" s="496"/>
      <c r="L2" s="45"/>
      <c r="M2" s="285"/>
      <c r="N2" s="285"/>
      <c r="O2" s="285"/>
      <c r="AD2" s="299" t="s">
        <v>135</v>
      </c>
      <c r="AE2" s="300"/>
      <c r="AF2" s="300"/>
      <c r="AG2" s="300"/>
      <c r="AH2" s="300"/>
      <c r="AI2" s="300"/>
      <c r="AJ2" s="321"/>
      <c r="AK2" s="321"/>
      <c r="AL2" s="321"/>
      <c r="AM2" s="323"/>
    </row>
    <row r="3" spans="1:39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7"/>
      <c r="L3" s="2"/>
      <c r="AD3" s="473" t="s">
        <v>136</v>
      </c>
      <c r="AE3" s="474"/>
      <c r="AF3" s="495" t="str">
        <f>'Summenblatt Schule'!O3</f>
        <v>Musterschulgebäude</v>
      </c>
      <c r="AG3" s="495"/>
      <c r="AH3" s="495"/>
      <c r="AI3" s="495"/>
      <c r="AJ3" s="495"/>
      <c r="AK3" s="495"/>
      <c r="AL3" s="495"/>
      <c r="AM3" s="289"/>
    </row>
    <row r="4" spans="1:39" s="10" customFormat="1" ht="6" customHeight="1">
      <c r="K4" s="2"/>
      <c r="L4" s="2"/>
      <c r="AD4" s="473"/>
      <c r="AE4" s="474"/>
      <c r="AF4" s="495"/>
      <c r="AG4" s="495"/>
      <c r="AH4" s="495"/>
      <c r="AI4" s="495"/>
      <c r="AJ4" s="495"/>
      <c r="AK4" s="495"/>
      <c r="AL4" s="495"/>
      <c r="AM4" s="289"/>
    </row>
    <row r="5" spans="1:39" s="10" customFormat="1" ht="12.95" customHeight="1">
      <c r="F5" s="72" t="s">
        <v>63</v>
      </c>
      <c r="G5" s="32" t="s">
        <v>49</v>
      </c>
      <c r="H5" s="32"/>
      <c r="I5" s="32"/>
      <c r="J5" s="12" t="s">
        <v>15</v>
      </c>
      <c r="K5" s="93" t="s">
        <v>50</v>
      </c>
      <c r="L5" s="32"/>
      <c r="AD5" s="473" t="s">
        <v>146</v>
      </c>
      <c r="AE5" s="474"/>
      <c r="AF5" s="487" t="str">
        <f>'Summenblatt Schule'!O5</f>
        <v>Schule 25 Mio BK</v>
      </c>
      <c r="AG5" s="487"/>
      <c r="AH5" s="487"/>
      <c r="AI5" s="487"/>
      <c r="AM5" s="289"/>
    </row>
    <row r="6" spans="1:39" s="10" customFormat="1" ht="6" customHeight="1">
      <c r="G6" s="70"/>
      <c r="K6" s="2"/>
      <c r="L6" s="2"/>
      <c r="AD6" s="473"/>
      <c r="AE6" s="474"/>
      <c r="AF6" s="487"/>
      <c r="AG6" s="487"/>
      <c r="AH6" s="487"/>
      <c r="AI6" s="487"/>
      <c r="AM6" s="289"/>
    </row>
    <row r="7" spans="1:39" s="11" customFormat="1" ht="12.95" customHeight="1">
      <c r="A7" s="484">
        <v>1</v>
      </c>
      <c r="B7" s="484"/>
      <c r="C7" s="79"/>
      <c r="D7" s="80" t="s">
        <v>0</v>
      </c>
      <c r="E7" s="80"/>
      <c r="F7" s="140">
        <f>G7/G36</f>
        <v>1E-3</v>
      </c>
      <c r="G7" s="156">
        <f>_1</f>
        <v>50000</v>
      </c>
      <c r="H7" s="75"/>
      <c r="I7" s="2"/>
      <c r="J7" s="108">
        <v>0</v>
      </c>
      <c r="K7" s="156">
        <f>G7*J7</f>
        <v>0</v>
      </c>
      <c r="L7" s="36"/>
      <c r="AD7" s="473" t="s">
        <v>137</v>
      </c>
      <c r="AE7" s="474"/>
      <c r="AF7" s="474" t="str">
        <f>'Summenblatt Schule'!O7</f>
        <v>Musterstraße, 9999 Stadt</v>
      </c>
      <c r="AG7" s="474"/>
      <c r="AH7" s="474"/>
      <c r="AI7" s="474"/>
      <c r="AJ7" s="474"/>
      <c r="AK7" s="474"/>
      <c r="AL7" s="474"/>
      <c r="AM7" s="290"/>
    </row>
    <row r="8" spans="1:39" ht="6.95" customHeight="1">
      <c r="B8" s="4"/>
      <c r="C8" s="6"/>
      <c r="F8" s="141"/>
      <c r="G8" s="125"/>
      <c r="J8" s="92"/>
      <c r="K8" s="125"/>
      <c r="L8" s="46"/>
      <c r="AD8" s="473"/>
      <c r="AE8" s="474"/>
      <c r="AF8" s="474"/>
      <c r="AG8" s="474"/>
      <c r="AH8" s="474"/>
      <c r="AI8" s="474"/>
      <c r="AJ8" s="474"/>
      <c r="AK8" s="474"/>
      <c r="AL8" s="474"/>
      <c r="AM8" s="291"/>
    </row>
    <row r="9" spans="1:39" s="11" customFormat="1" ht="12.95" customHeight="1">
      <c r="A9" s="484">
        <v>2</v>
      </c>
      <c r="B9" s="484"/>
      <c r="C9" s="79"/>
      <c r="D9" s="80" t="s">
        <v>1</v>
      </c>
      <c r="E9" s="80"/>
      <c r="F9" s="140">
        <f>G9/G36</f>
        <v>0.27900000000000003</v>
      </c>
      <c r="G9" s="156">
        <f>_2</f>
        <v>9700000</v>
      </c>
      <c r="H9" s="75"/>
      <c r="I9" s="2"/>
      <c r="J9" s="109">
        <v>1</v>
      </c>
      <c r="K9" s="156">
        <f>G9*J9</f>
        <v>9700000</v>
      </c>
      <c r="L9" s="36"/>
      <c r="AD9" s="297"/>
      <c r="AE9" s="298"/>
      <c r="AF9" s="465"/>
      <c r="AG9" s="465"/>
      <c r="AH9" s="465"/>
      <c r="AI9" s="465"/>
      <c r="AJ9" s="465"/>
      <c r="AK9" s="465"/>
      <c r="AL9" s="465"/>
      <c r="AM9" s="290"/>
    </row>
    <row r="10" spans="1:39" ht="6.95" customHeight="1">
      <c r="F10" s="141"/>
      <c r="G10" s="252"/>
      <c r="J10" s="92"/>
      <c r="K10" s="124"/>
      <c r="L10" s="36"/>
      <c r="AD10" s="297"/>
      <c r="AE10" s="298"/>
      <c r="AF10" s="304"/>
      <c r="AG10" s="304"/>
      <c r="AH10" s="304"/>
      <c r="AI10" s="304"/>
      <c r="AM10" s="291"/>
    </row>
    <row r="11" spans="1:39" s="10" customFormat="1" ht="12.95" customHeight="1">
      <c r="A11" s="484">
        <v>3</v>
      </c>
      <c r="B11" s="484"/>
      <c r="C11" s="79"/>
      <c r="D11" s="80" t="s">
        <v>7</v>
      </c>
      <c r="E11" s="80"/>
      <c r="F11" s="140">
        <f>G11/G36</f>
        <v>0.18099999999999999</v>
      </c>
      <c r="G11" s="157">
        <f>_3</f>
        <v>6300000</v>
      </c>
      <c r="H11" s="75"/>
      <c r="I11" s="2"/>
      <c r="J11" s="109">
        <v>1</v>
      </c>
      <c r="K11" s="158">
        <f>G11*J11</f>
        <v>6300000</v>
      </c>
      <c r="L11" s="36"/>
      <c r="AD11" s="297" t="s">
        <v>138</v>
      </c>
      <c r="AE11" s="298"/>
      <c r="AF11" s="472" t="s">
        <v>211</v>
      </c>
      <c r="AG11" s="472"/>
      <c r="AH11" s="472"/>
      <c r="AI11" s="472"/>
      <c r="AJ11" s="472"/>
      <c r="AK11" s="472"/>
      <c r="AL11" s="472"/>
      <c r="AM11" s="289"/>
    </row>
    <row r="12" spans="1:39" ht="12.95" customHeight="1">
      <c r="A12" s="498">
        <v>3</v>
      </c>
      <c r="B12" s="498"/>
      <c r="C12" s="83" t="s">
        <v>16</v>
      </c>
      <c r="D12" s="84" t="s">
        <v>17</v>
      </c>
      <c r="E12" s="84"/>
      <c r="F12" s="142"/>
      <c r="G12" s="153">
        <f>_3.01</f>
        <v>2000000</v>
      </c>
      <c r="H12" s="75"/>
      <c r="I12" s="2"/>
      <c r="J12" s="92"/>
      <c r="K12" s="208"/>
      <c r="L12" s="36"/>
      <c r="AD12" s="297"/>
      <c r="AE12" s="298"/>
      <c r="AF12" s="304"/>
      <c r="AG12" s="304"/>
      <c r="AH12" s="304"/>
      <c r="AI12" s="304"/>
      <c r="AM12" s="291"/>
    </row>
    <row r="13" spans="1:39" ht="12.95" customHeight="1">
      <c r="A13" s="497">
        <v>3</v>
      </c>
      <c r="B13" s="497"/>
      <c r="C13" s="87" t="s">
        <v>18</v>
      </c>
      <c r="D13" s="88" t="s">
        <v>25</v>
      </c>
      <c r="E13" s="88"/>
      <c r="F13" s="143"/>
      <c r="G13" s="154">
        <f>_3.02</f>
        <v>0</v>
      </c>
      <c r="H13" s="75"/>
      <c r="I13" s="2"/>
      <c r="J13" s="92"/>
      <c r="K13" s="160"/>
      <c r="L13" s="36"/>
      <c r="AD13" s="297" t="s">
        <v>171</v>
      </c>
      <c r="AE13" s="298"/>
      <c r="AF13" s="464" t="s">
        <v>211</v>
      </c>
      <c r="AG13" s="464"/>
      <c r="AH13" s="464"/>
      <c r="AI13" s="464"/>
      <c r="AJ13" s="464"/>
      <c r="AK13" s="464"/>
      <c r="AL13" s="464"/>
      <c r="AM13" s="291"/>
    </row>
    <row r="14" spans="1:39" ht="12.95" customHeight="1">
      <c r="A14" s="497">
        <v>3</v>
      </c>
      <c r="B14" s="497"/>
      <c r="C14" s="87" t="s">
        <v>19</v>
      </c>
      <c r="D14" s="88" t="s">
        <v>26</v>
      </c>
      <c r="E14" s="88"/>
      <c r="F14" s="143"/>
      <c r="G14" s="155">
        <f>_3.03</f>
        <v>1500000</v>
      </c>
      <c r="H14" s="75"/>
      <c r="I14" s="2"/>
      <c r="J14" s="92"/>
      <c r="K14" s="160"/>
      <c r="L14" s="36"/>
      <c r="AD14" s="297"/>
      <c r="AE14" s="298"/>
      <c r="AF14" s="304"/>
      <c r="AG14" s="304"/>
      <c r="AH14" s="304"/>
      <c r="AI14" s="304"/>
      <c r="AM14" s="291"/>
    </row>
    <row r="15" spans="1:39" ht="12.95" customHeight="1">
      <c r="A15" s="497">
        <v>3</v>
      </c>
      <c r="B15" s="497"/>
      <c r="C15" s="87" t="s">
        <v>20</v>
      </c>
      <c r="D15" s="88" t="s">
        <v>27</v>
      </c>
      <c r="E15" s="88"/>
      <c r="F15" s="143"/>
      <c r="G15" s="155">
        <f>_3.04</f>
        <v>1500000</v>
      </c>
      <c r="H15" s="75"/>
      <c r="I15" s="2"/>
      <c r="J15" s="92"/>
      <c r="K15" s="160"/>
      <c r="L15" s="36"/>
      <c r="M15" s="31"/>
      <c r="AD15" s="297" t="s">
        <v>139</v>
      </c>
      <c r="AE15" s="298"/>
      <c r="AF15" s="467" t="str">
        <f>'Summenblatt Schule'!O17</f>
        <v>nn m²</v>
      </c>
      <c r="AG15" s="467"/>
      <c r="AH15" s="467"/>
      <c r="AI15" s="467"/>
      <c r="AJ15" s="467"/>
      <c r="AK15" s="467"/>
      <c r="AL15" s="467"/>
      <c r="AM15" s="291"/>
    </row>
    <row r="16" spans="1:39" ht="12.95" customHeight="1">
      <c r="A16" s="497">
        <v>3</v>
      </c>
      <c r="B16" s="497"/>
      <c r="C16" s="87" t="s">
        <v>21</v>
      </c>
      <c r="D16" s="88" t="s">
        <v>30</v>
      </c>
      <c r="E16" s="88"/>
      <c r="F16" s="143"/>
      <c r="G16" s="155">
        <f>_3.05</f>
        <v>300000</v>
      </c>
      <c r="H16" s="75"/>
      <c r="I16" s="2"/>
      <c r="J16" s="92"/>
      <c r="K16" s="160"/>
      <c r="L16" s="36"/>
      <c r="M16" s="31"/>
      <c r="AD16" s="297"/>
      <c r="AE16" s="298"/>
      <c r="AF16" s="304"/>
      <c r="AG16" s="304"/>
      <c r="AH16" s="304"/>
      <c r="AI16" s="304"/>
      <c r="AM16" s="291"/>
    </row>
    <row r="17" spans="1:39" ht="12.95" customHeight="1">
      <c r="A17" s="497">
        <v>3</v>
      </c>
      <c r="B17" s="497"/>
      <c r="C17" s="87" t="s">
        <v>22</v>
      </c>
      <c r="D17" s="88" t="s">
        <v>28</v>
      </c>
      <c r="E17" s="88"/>
      <c r="F17" s="143"/>
      <c r="G17" s="155">
        <f>_3.06</f>
        <v>500000</v>
      </c>
      <c r="H17" s="75"/>
      <c r="I17" s="2"/>
      <c r="J17" s="92"/>
      <c r="K17" s="160"/>
      <c r="L17" s="36"/>
      <c r="M17" s="31"/>
      <c r="AD17" s="297" t="s">
        <v>140</v>
      </c>
      <c r="AE17" s="298"/>
      <c r="AF17" s="467" t="str">
        <f>'Summenblatt Schule'!O19</f>
        <v>nn m²</v>
      </c>
      <c r="AG17" s="467"/>
      <c r="AH17" s="467"/>
      <c r="AI17" s="467"/>
      <c r="AJ17" s="467"/>
      <c r="AK17" s="467"/>
      <c r="AL17" s="467"/>
      <c r="AM17" s="291"/>
    </row>
    <row r="18" spans="1:39" ht="12.95" customHeight="1">
      <c r="A18" s="497">
        <v>3</v>
      </c>
      <c r="B18" s="497"/>
      <c r="C18" s="87" t="s">
        <v>23</v>
      </c>
      <c r="D18" s="88" t="s">
        <v>29</v>
      </c>
      <c r="E18" s="88"/>
      <c r="F18" s="143"/>
      <c r="G18" s="155">
        <f>_3.07</f>
        <v>0</v>
      </c>
      <c r="H18" s="75"/>
      <c r="I18" s="2"/>
      <c r="J18" s="92"/>
      <c r="K18" s="460"/>
      <c r="L18" s="36"/>
      <c r="M18" s="31"/>
      <c r="AD18" s="297"/>
      <c r="AE18" s="298"/>
      <c r="AF18" s="304"/>
      <c r="AG18" s="304"/>
      <c r="AH18" s="304"/>
      <c r="AI18" s="304"/>
      <c r="AM18" s="291"/>
    </row>
    <row r="19" spans="1:39" ht="12.95" customHeight="1">
      <c r="A19" s="497">
        <v>3</v>
      </c>
      <c r="B19" s="497"/>
      <c r="C19" s="87" t="s">
        <v>24</v>
      </c>
      <c r="D19" s="88" t="s">
        <v>8</v>
      </c>
      <c r="E19" s="88"/>
      <c r="F19" s="143"/>
      <c r="G19" s="155">
        <f>_3.08</f>
        <v>500000</v>
      </c>
      <c r="H19" s="75"/>
      <c r="I19" s="2"/>
      <c r="J19" s="92"/>
      <c r="K19" s="124"/>
      <c r="L19" s="36"/>
      <c r="M19" s="31"/>
      <c r="AD19" s="297" t="s">
        <v>141</v>
      </c>
      <c r="AE19" s="298"/>
      <c r="AF19" s="467" t="str">
        <f>'Summenblatt Schule'!O21</f>
        <v>nn m³</v>
      </c>
      <c r="AG19" s="467"/>
      <c r="AH19" s="467"/>
      <c r="AI19" s="467"/>
      <c r="AJ19" s="467"/>
      <c r="AK19" s="467"/>
      <c r="AL19" s="467"/>
      <c r="AM19" s="291"/>
    </row>
    <row r="20" spans="1:39" ht="6.95" customHeight="1">
      <c r="F20" s="141"/>
      <c r="G20" s="124"/>
      <c r="J20" s="110"/>
      <c r="K20" s="124"/>
      <c r="L20" s="35"/>
      <c r="AD20" s="297"/>
      <c r="AE20" s="298"/>
      <c r="AF20" s="304"/>
      <c r="AG20" s="304"/>
      <c r="AH20" s="304"/>
      <c r="AI20" s="304"/>
      <c r="AM20" s="291"/>
    </row>
    <row r="21" spans="1:39" s="10" customFormat="1" ht="12.75" customHeight="1">
      <c r="A21" s="484">
        <v>4</v>
      </c>
      <c r="B21" s="484"/>
      <c r="C21" s="79"/>
      <c r="D21" s="80" t="s">
        <v>2</v>
      </c>
      <c r="E21" s="80"/>
      <c r="F21" s="140">
        <f>G21/G36</f>
        <v>0.25900000000000001</v>
      </c>
      <c r="G21" s="156">
        <f>_4</f>
        <v>9000000</v>
      </c>
      <c r="H21" s="75"/>
      <c r="I21" s="2"/>
      <c r="J21" s="109">
        <v>1</v>
      </c>
      <c r="K21" s="156">
        <f>G21*J21</f>
        <v>9000000</v>
      </c>
      <c r="L21" s="36"/>
      <c r="AD21" s="297" t="s">
        <v>142</v>
      </c>
      <c r="AE21" s="298"/>
      <c r="AF21" s="467" t="str">
        <f>'Summenblatt Schule'!O23</f>
        <v>nn m³</v>
      </c>
      <c r="AG21" s="467"/>
      <c r="AH21" s="467"/>
      <c r="AI21" s="467"/>
      <c r="AJ21" s="467"/>
      <c r="AK21" s="467"/>
      <c r="AL21" s="467"/>
      <c r="AM21" s="289"/>
    </row>
    <row r="22" spans="1:39" ht="6.95" customHeight="1">
      <c r="B22" s="4"/>
      <c r="C22" s="6"/>
      <c r="F22" s="141"/>
      <c r="G22" s="124"/>
      <c r="J22" s="92"/>
      <c r="K22" s="124"/>
      <c r="L22" s="34"/>
      <c r="AD22" s="297"/>
      <c r="AE22" s="298"/>
      <c r="AF22" s="467"/>
      <c r="AG22" s="467"/>
      <c r="AH22" s="467"/>
      <c r="AI22" s="467"/>
      <c r="AJ22" s="467"/>
      <c r="AK22" s="467"/>
      <c r="AL22" s="467"/>
      <c r="AM22" s="291"/>
    </row>
    <row r="23" spans="1:39" s="11" customFormat="1" ht="12.95" customHeight="1">
      <c r="A23" s="484">
        <v>5</v>
      </c>
      <c r="B23" s="484"/>
      <c r="C23" s="79"/>
      <c r="D23" s="80" t="s">
        <v>9</v>
      </c>
      <c r="E23" s="80"/>
      <c r="F23" s="140">
        <f>G23/G36</f>
        <v>4.0000000000000001E-3</v>
      </c>
      <c r="G23" s="158">
        <f>_5</f>
        <v>130000</v>
      </c>
      <c r="H23" s="75"/>
      <c r="I23" s="2"/>
      <c r="J23" s="92"/>
      <c r="K23" s="208"/>
      <c r="L23" s="36"/>
      <c r="AD23" s="309"/>
      <c r="AE23" s="123"/>
      <c r="AF23" s="123"/>
      <c r="AG23" s="123"/>
      <c r="AH23" s="123"/>
      <c r="AI23" s="123"/>
      <c r="AJ23" s="123"/>
      <c r="AK23" s="123"/>
      <c r="AL23" s="123"/>
      <c r="AM23" s="290"/>
    </row>
    <row r="24" spans="1:39" ht="12.95" customHeight="1">
      <c r="A24" s="498">
        <v>5</v>
      </c>
      <c r="B24" s="498"/>
      <c r="C24" s="90" t="s">
        <v>16</v>
      </c>
      <c r="D24" s="84" t="s">
        <v>103</v>
      </c>
      <c r="E24" s="84"/>
      <c r="F24" s="142"/>
      <c r="G24" s="154">
        <f>_5.01</f>
        <v>100000</v>
      </c>
      <c r="H24" s="75"/>
      <c r="I24" s="2"/>
      <c r="J24" s="109">
        <v>1</v>
      </c>
      <c r="K24" s="226">
        <f>J24*G24</f>
        <v>100000</v>
      </c>
      <c r="L24" s="36"/>
      <c r="AD24" s="309"/>
      <c r="AE24" s="123"/>
      <c r="AF24" s="123"/>
      <c r="AG24" s="123"/>
      <c r="AH24" s="123"/>
      <c r="AI24" s="123"/>
      <c r="AJ24" s="123"/>
      <c r="AK24" s="123"/>
      <c r="AL24" s="123"/>
      <c r="AM24" s="291"/>
    </row>
    <row r="25" spans="1:39" ht="12.95" customHeight="1">
      <c r="A25" s="499">
        <v>5</v>
      </c>
      <c r="B25" s="499"/>
      <c r="C25" s="91" t="s">
        <v>18</v>
      </c>
      <c r="D25" s="253" t="s">
        <v>104</v>
      </c>
      <c r="E25" s="253"/>
      <c r="F25" s="254"/>
      <c r="G25" s="154">
        <f>_5.02</f>
        <v>20000</v>
      </c>
      <c r="H25" s="75"/>
      <c r="I25" s="2"/>
      <c r="J25" s="109">
        <v>0.6</v>
      </c>
      <c r="K25" s="226">
        <f>G25*J25</f>
        <v>12000</v>
      </c>
      <c r="L25" s="36"/>
      <c r="AD25" s="309"/>
      <c r="AE25" s="123"/>
      <c r="AM25" s="291"/>
    </row>
    <row r="26" spans="1:39" ht="12.95" customHeight="1">
      <c r="A26" s="499">
        <v>5</v>
      </c>
      <c r="B26" s="499"/>
      <c r="C26" s="91" t="s">
        <v>19</v>
      </c>
      <c r="D26" s="88" t="s">
        <v>51</v>
      </c>
      <c r="E26" s="88"/>
      <c r="F26" s="143"/>
      <c r="G26" s="154">
        <f>_5.03</f>
        <v>10000</v>
      </c>
      <c r="H26" s="2"/>
      <c r="I26" s="2"/>
      <c r="J26" s="109">
        <v>0</v>
      </c>
      <c r="K26" s="226">
        <f>G26*J26</f>
        <v>0</v>
      </c>
      <c r="L26" s="36"/>
      <c r="AD26" s="325"/>
      <c r="AM26" s="291"/>
    </row>
    <row r="27" spans="1:39" ht="6.95" customHeight="1">
      <c r="F27" s="141"/>
      <c r="G27" s="124"/>
      <c r="J27" s="92"/>
      <c r="K27" s="124"/>
      <c r="L27" s="36"/>
      <c r="AD27" s="325"/>
      <c r="AM27" s="291"/>
    </row>
    <row r="28" spans="1:39" s="10" customFormat="1" ht="12.95" customHeight="1">
      <c r="A28" s="484">
        <v>6</v>
      </c>
      <c r="B28" s="484"/>
      <c r="C28" s="79"/>
      <c r="D28" s="80" t="s">
        <v>3</v>
      </c>
      <c r="E28" s="80"/>
      <c r="F28" s="140">
        <f>G28/G36</f>
        <v>1E-3</v>
      </c>
      <c r="G28" s="156">
        <f>_6</f>
        <v>35000</v>
      </c>
      <c r="H28" s="75"/>
      <c r="I28" s="2"/>
      <c r="J28" s="109">
        <v>1</v>
      </c>
      <c r="K28" s="156">
        <f>G28*J28</f>
        <v>35000</v>
      </c>
      <c r="L28" s="36"/>
      <c r="AD28" s="325"/>
      <c r="AE28" s="1"/>
      <c r="AF28" s="1"/>
      <c r="AG28" s="1"/>
      <c r="AH28" s="1"/>
      <c r="AI28" s="1"/>
      <c r="AJ28" s="1"/>
      <c r="AK28" s="1"/>
      <c r="AL28" s="1"/>
      <c r="AM28" s="291"/>
    </row>
    <row r="29" spans="1:39" ht="6.95" customHeight="1">
      <c r="B29" s="13"/>
      <c r="C29" s="5"/>
      <c r="F29" s="144"/>
      <c r="G29" s="124"/>
      <c r="J29" s="92"/>
      <c r="K29" s="124"/>
      <c r="L29" s="36"/>
      <c r="M29" s="9"/>
      <c r="AD29" s="325"/>
      <c r="AM29" s="291"/>
    </row>
    <row r="30" spans="1:39" s="11" customFormat="1" ht="12.95" customHeight="1">
      <c r="A30" s="484">
        <v>7</v>
      </c>
      <c r="B30" s="484"/>
      <c r="C30" s="79"/>
      <c r="D30" s="80" t="s">
        <v>90</v>
      </c>
      <c r="E30" s="80"/>
      <c r="F30" s="140">
        <f>G30/G36</f>
        <v>0.187</v>
      </c>
      <c r="G30" s="156">
        <f>_7</f>
        <v>6500000</v>
      </c>
      <c r="H30" s="75"/>
      <c r="I30" s="2"/>
      <c r="J30" s="109">
        <v>0</v>
      </c>
      <c r="K30" s="156">
        <f>G30*J30</f>
        <v>0</v>
      </c>
      <c r="L30" s="36"/>
      <c r="M30" s="3"/>
      <c r="AD30" s="325"/>
      <c r="AE30" s="1"/>
      <c r="AF30" s="1"/>
      <c r="AG30" s="1"/>
      <c r="AH30" s="1"/>
      <c r="AI30" s="1"/>
      <c r="AJ30" s="1"/>
      <c r="AK30" s="1"/>
      <c r="AL30" s="1"/>
      <c r="AM30" s="291"/>
    </row>
    <row r="31" spans="1:39" ht="6.95" customHeight="1">
      <c r="F31" s="144"/>
      <c r="G31" s="124"/>
      <c r="J31" s="92"/>
      <c r="K31" s="124"/>
      <c r="L31" s="36"/>
      <c r="M31" s="9"/>
      <c r="AD31" s="325"/>
      <c r="AM31" s="291"/>
    </row>
    <row r="32" spans="1:39" s="11" customFormat="1" ht="12.95" customHeight="1">
      <c r="A32" s="484">
        <v>8</v>
      </c>
      <c r="B32" s="484"/>
      <c r="C32" s="79"/>
      <c r="D32" s="80" t="s">
        <v>85</v>
      </c>
      <c r="E32" s="80"/>
      <c r="F32" s="140">
        <f>G32/G36</f>
        <v>1E-3</v>
      </c>
      <c r="G32" s="156">
        <f>_8</f>
        <v>25000</v>
      </c>
      <c r="H32" s="75"/>
      <c r="I32" s="2"/>
      <c r="J32" s="109">
        <v>0</v>
      </c>
      <c r="K32" s="156">
        <f>G32*J32</f>
        <v>0</v>
      </c>
      <c r="L32" s="36"/>
      <c r="M32" s="164"/>
      <c r="AD32" s="325"/>
      <c r="AE32" s="1"/>
      <c r="AF32" s="1"/>
      <c r="AG32" s="1"/>
      <c r="AH32" s="1"/>
      <c r="AI32" s="1"/>
      <c r="AJ32" s="1"/>
      <c r="AK32" s="1"/>
      <c r="AL32" s="1"/>
      <c r="AM32" s="291"/>
    </row>
    <row r="33" spans="1:40" ht="6.95" customHeight="1">
      <c r="F33" s="144"/>
      <c r="G33" s="124"/>
      <c r="J33" s="110"/>
      <c r="K33" s="124"/>
      <c r="L33" s="35"/>
      <c r="M33" s="23"/>
      <c r="AD33" s="325"/>
      <c r="AM33" s="291"/>
    </row>
    <row r="34" spans="1:40" s="11" customFormat="1" ht="12.95" customHeight="1">
      <c r="A34" s="484">
        <v>9</v>
      </c>
      <c r="B34" s="484"/>
      <c r="C34" s="79"/>
      <c r="D34" s="80" t="s">
        <v>10</v>
      </c>
      <c r="E34" s="80"/>
      <c r="F34" s="140">
        <f>G34/G36</f>
        <v>8.5999999999999993E-2</v>
      </c>
      <c r="G34" s="156">
        <f>_9</f>
        <v>3000000</v>
      </c>
      <c r="H34" s="75"/>
      <c r="I34" s="2"/>
      <c r="J34" s="109">
        <v>0.4</v>
      </c>
      <c r="K34" s="156">
        <f>G34*J34</f>
        <v>1200000</v>
      </c>
      <c r="L34" s="36"/>
      <c r="M34" s="23"/>
      <c r="AD34" s="325"/>
      <c r="AE34" s="1"/>
      <c r="AF34" s="1"/>
      <c r="AG34" s="1"/>
      <c r="AH34" s="1"/>
      <c r="AI34" s="1"/>
      <c r="AJ34" s="1"/>
      <c r="AK34" s="1"/>
      <c r="AL34" s="1"/>
      <c r="AM34" s="291"/>
    </row>
    <row r="35" spans="1:40" ht="12" customHeight="1">
      <c r="B35" s="13"/>
      <c r="C35" s="5"/>
      <c r="F35" s="33"/>
      <c r="J35" s="1"/>
      <c r="K35" s="1"/>
      <c r="L35" s="1"/>
      <c r="M35" s="23"/>
      <c r="AD35" s="325"/>
      <c r="AM35" s="291"/>
    </row>
    <row r="36" spans="1:40" s="115" customFormat="1" ht="12.95" customHeight="1">
      <c r="A36" s="117" t="s">
        <v>208</v>
      </c>
      <c r="B36" s="118"/>
      <c r="C36" s="118"/>
      <c r="D36" s="118"/>
      <c r="E36" s="118"/>
      <c r="F36" s="120">
        <f>SUM(F7:F34)</f>
        <v>1</v>
      </c>
      <c r="G36" s="94">
        <f>_EK</f>
        <v>34740000</v>
      </c>
      <c r="H36" s="121"/>
      <c r="I36" s="121"/>
      <c r="J36" s="169"/>
      <c r="K36" s="3"/>
      <c r="L36" s="3"/>
      <c r="M36" s="3"/>
      <c r="N36" s="286"/>
      <c r="O36" s="286"/>
      <c r="AD36" s="325"/>
      <c r="AE36" s="1"/>
      <c r="AF36" s="1"/>
      <c r="AG36" s="1"/>
      <c r="AH36" s="1"/>
      <c r="AI36" s="1"/>
      <c r="AJ36" s="1"/>
      <c r="AK36" s="1"/>
      <c r="AL36" s="1"/>
      <c r="AM36" s="291"/>
    </row>
    <row r="37" spans="1:40" ht="6" customHeight="1">
      <c r="B37" s="255"/>
      <c r="F37" s="33"/>
      <c r="H37" s="9"/>
      <c r="I37" s="9"/>
      <c r="J37" s="1"/>
      <c r="K37" s="1"/>
      <c r="L37" s="1"/>
      <c r="M37" s="1"/>
      <c r="N37" s="1"/>
      <c r="O37" s="1"/>
      <c r="AD37" s="325"/>
      <c r="AM37" s="291"/>
    </row>
    <row r="38" spans="1:40" s="10" customFormat="1" ht="12.95" customHeight="1">
      <c r="A38" s="484"/>
      <c r="B38" s="484"/>
      <c r="C38" s="79" t="s">
        <v>105</v>
      </c>
      <c r="D38" s="80"/>
      <c r="E38" s="228"/>
      <c r="F38" s="140"/>
      <c r="G38" s="462">
        <f>_mvB</f>
        <v>0</v>
      </c>
      <c r="H38" s="75"/>
      <c r="I38" s="2"/>
      <c r="J38" s="109">
        <v>1</v>
      </c>
      <c r="K38" s="156">
        <f>G38*J38</f>
        <v>0</v>
      </c>
      <c r="AD38" s="325"/>
      <c r="AE38" s="1"/>
      <c r="AF38" s="1"/>
      <c r="AG38" s="1"/>
      <c r="AH38" s="1"/>
      <c r="AI38" s="1"/>
      <c r="AJ38" s="1"/>
      <c r="AK38" s="1"/>
      <c r="AL38" s="1"/>
      <c r="AM38" s="291"/>
    </row>
    <row r="39" spans="1:40" ht="6" customHeight="1">
      <c r="B39" s="255"/>
      <c r="F39" s="33"/>
      <c r="H39" s="9"/>
      <c r="I39" s="9"/>
      <c r="J39" s="1"/>
      <c r="K39" s="1"/>
      <c r="L39" s="1"/>
      <c r="M39" s="1"/>
      <c r="N39" s="1"/>
      <c r="O39" s="1"/>
      <c r="AD39" s="325"/>
      <c r="AM39" s="291"/>
    </row>
    <row r="40" spans="1:40" s="116" customFormat="1" ht="12.95" customHeight="1">
      <c r="A40" s="209" t="s">
        <v>31</v>
      </c>
      <c r="B40" s="210"/>
      <c r="C40" s="210"/>
      <c r="D40" s="210"/>
      <c r="E40" s="210"/>
      <c r="F40" s="210"/>
      <c r="G40" s="210"/>
      <c r="H40" s="210"/>
      <c r="I40" s="210"/>
      <c r="J40" s="211"/>
      <c r="K40" s="212">
        <f>SUM(K7:K38)</f>
        <v>26347000</v>
      </c>
      <c r="L40" s="119"/>
      <c r="M40" s="3"/>
      <c r="AD40" s="294"/>
      <c r="AE40" s="295"/>
      <c r="AF40" s="295"/>
      <c r="AG40" s="295"/>
      <c r="AH40" s="295"/>
      <c r="AI40" s="295"/>
      <c r="AJ40" s="295"/>
      <c r="AK40" s="295"/>
      <c r="AL40" s="295"/>
      <c r="AM40" s="296"/>
    </row>
    <row r="41" spans="1:40" s="16" customFormat="1" ht="12.95" customHeight="1">
      <c r="B41" s="17"/>
      <c r="C41" s="17"/>
      <c r="J41" s="170"/>
      <c r="K41" s="170"/>
      <c r="L41" s="22"/>
      <c r="M41" s="23"/>
      <c r="N41" s="287"/>
      <c r="O41" s="287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40" ht="9" customHeight="1">
      <c r="B42" s="15"/>
      <c r="K42" s="256"/>
      <c r="M42" s="23"/>
    </row>
    <row r="43" spans="1:40" ht="6" customHeight="1">
      <c r="A43" s="173"/>
      <c r="B43" s="173"/>
      <c r="C43" s="173"/>
      <c r="D43" s="173"/>
      <c r="E43" s="173"/>
      <c r="F43" s="173"/>
      <c r="G43" s="173"/>
      <c r="H43" s="173"/>
      <c r="I43" s="173"/>
      <c r="K43" s="257"/>
    </row>
    <row r="44" spans="1:40" ht="12.75" customHeight="1">
      <c r="A44" s="171" t="s">
        <v>266</v>
      </c>
      <c r="B44" s="171"/>
      <c r="C44" s="171"/>
      <c r="D44" s="172"/>
      <c r="E44" s="172"/>
      <c r="F44" s="172"/>
      <c r="G44" s="172"/>
      <c r="H44" s="172"/>
      <c r="I44" s="172"/>
      <c r="J44" s="171"/>
      <c r="K44" s="273"/>
      <c r="L44" s="17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</row>
    <row r="45" spans="1:40" ht="6.75" customHeight="1">
      <c r="A45" s="173"/>
      <c r="B45" s="173"/>
      <c r="C45" s="173"/>
      <c r="D45" s="173"/>
      <c r="E45" s="173"/>
      <c r="F45" s="173"/>
      <c r="G45" s="173"/>
      <c r="H45" s="173"/>
      <c r="I45" s="173"/>
      <c r="K45" s="257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</row>
    <row r="46" spans="1:40" ht="12.75" customHeight="1">
      <c r="A46" s="174" t="s">
        <v>64</v>
      </c>
      <c r="B46" s="173"/>
      <c r="C46" s="173"/>
      <c r="D46" s="173"/>
      <c r="E46" s="173"/>
      <c r="F46" s="173"/>
      <c r="G46" s="173"/>
      <c r="H46" s="173"/>
      <c r="I46" s="173"/>
      <c r="K46" s="257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</row>
    <row r="47" spans="1:40" ht="12.75" customHeight="1">
      <c r="A47" s="18"/>
      <c r="B47" s="18"/>
      <c r="C47" s="18"/>
      <c r="G47" s="175" t="s">
        <v>5</v>
      </c>
      <c r="H47" s="176" t="s">
        <v>4</v>
      </c>
      <c r="I47" s="176"/>
      <c r="J47" s="485" t="s">
        <v>234</v>
      </c>
      <c r="K47" s="485"/>
      <c r="L47" s="42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</row>
    <row r="48" spans="1:40" ht="12.75" customHeight="1">
      <c r="B48" s="19" t="s">
        <v>45</v>
      </c>
      <c r="C48" s="43"/>
      <c r="D48" s="37"/>
      <c r="E48" s="37"/>
      <c r="F48" s="37"/>
      <c r="G48" s="370">
        <v>6</v>
      </c>
      <c r="H48" s="177" t="s">
        <v>32</v>
      </c>
      <c r="I48" s="176"/>
      <c r="J48" s="418"/>
      <c r="K48" s="419"/>
      <c r="L48" s="42"/>
      <c r="M48" s="478" t="s">
        <v>237</v>
      </c>
      <c r="N48" s="478" t="s">
        <v>131</v>
      </c>
      <c r="O48" s="478" t="s">
        <v>132</v>
      </c>
      <c r="P48" s="478" t="s">
        <v>166</v>
      </c>
      <c r="Q48" s="319"/>
      <c r="R48" s="478" t="s">
        <v>172</v>
      </c>
      <c r="S48" s="478" t="s">
        <v>173</v>
      </c>
      <c r="T48" s="478" t="s">
        <v>174</v>
      </c>
      <c r="U48" s="478" t="s">
        <v>133</v>
      </c>
      <c r="V48" s="478" t="s">
        <v>152</v>
      </c>
      <c r="W48" s="478" t="s">
        <v>153</v>
      </c>
      <c r="X48" s="478" t="s">
        <v>167</v>
      </c>
      <c r="Y48" s="478" t="s">
        <v>154</v>
      </c>
      <c r="Z48" s="478" t="s">
        <v>155</v>
      </c>
      <c r="AA48" s="478" t="s">
        <v>156</v>
      </c>
      <c r="AB48" s="478" t="s">
        <v>168</v>
      </c>
      <c r="AC48" s="478" t="s">
        <v>157</v>
      </c>
      <c r="AD48" s="478" t="s">
        <v>158</v>
      </c>
      <c r="AE48" s="478" t="s">
        <v>160</v>
      </c>
      <c r="AF48" s="478" t="s">
        <v>170</v>
      </c>
      <c r="AG48" s="478" t="s">
        <v>159</v>
      </c>
      <c r="AH48" s="478" t="s">
        <v>161</v>
      </c>
      <c r="AI48" s="478" t="s">
        <v>175</v>
      </c>
      <c r="AJ48" s="478" t="s">
        <v>163</v>
      </c>
      <c r="AK48" s="478" t="s">
        <v>164</v>
      </c>
      <c r="AL48" s="478" t="s">
        <v>169</v>
      </c>
      <c r="AM48" s="478" t="s">
        <v>165</v>
      </c>
    </row>
    <row r="49" spans="1:39" ht="12.75" customHeight="1">
      <c r="B49" s="20" t="s">
        <v>46</v>
      </c>
      <c r="C49" s="44"/>
      <c r="D49" s="38"/>
      <c r="E49" s="38"/>
      <c r="F49" s="38"/>
      <c r="G49" s="369">
        <v>1</v>
      </c>
      <c r="H49" s="178" t="s">
        <v>6</v>
      </c>
      <c r="I49" s="176"/>
      <c r="J49" s="420"/>
      <c r="K49" s="421"/>
      <c r="L49" s="42"/>
      <c r="M49" s="479"/>
      <c r="N49" s="479"/>
      <c r="O49" s="479"/>
      <c r="P49" s="479"/>
      <c r="Q49" s="31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  <c r="AM49" s="479"/>
    </row>
    <row r="50" spans="1:39" ht="12.75" customHeight="1">
      <c r="B50" s="20" t="s">
        <v>47</v>
      </c>
      <c r="C50" s="44"/>
      <c r="D50" s="38"/>
      <c r="E50" s="38"/>
      <c r="F50" s="38"/>
      <c r="G50" s="369">
        <v>1</v>
      </c>
      <c r="H50" s="178" t="s">
        <v>6</v>
      </c>
      <c r="I50" s="176"/>
      <c r="J50" s="420"/>
      <c r="K50" s="421"/>
      <c r="L50" s="42"/>
      <c r="M50" s="479"/>
      <c r="N50" s="479"/>
      <c r="O50" s="479"/>
      <c r="P50" s="479"/>
      <c r="Q50" s="31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79"/>
      <c r="AI50" s="479"/>
      <c r="AJ50" s="479"/>
      <c r="AK50" s="479"/>
      <c r="AL50" s="479"/>
      <c r="AM50" s="479"/>
    </row>
    <row r="51" spans="1:39" ht="12.75" customHeight="1">
      <c r="B51" s="20" t="s">
        <v>48</v>
      </c>
      <c r="C51" s="38"/>
      <c r="D51" s="38"/>
      <c r="E51" s="38"/>
      <c r="F51" s="38"/>
      <c r="G51" s="369">
        <v>1</v>
      </c>
      <c r="H51" s="178" t="s">
        <v>6</v>
      </c>
      <c r="I51" s="176"/>
      <c r="J51" s="420"/>
      <c r="K51" s="421"/>
      <c r="L51" s="42"/>
      <c r="M51" s="479"/>
      <c r="N51" s="479"/>
      <c r="O51" s="479"/>
      <c r="P51" s="479"/>
      <c r="Q51" s="31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</row>
    <row r="52" spans="1:39" ht="4.5" customHeight="1">
      <c r="A52" s="18"/>
      <c r="B52" s="18"/>
      <c r="C52" s="18"/>
      <c r="G52" s="179"/>
      <c r="H52" s="179"/>
      <c r="I52" s="179"/>
      <c r="K52" s="251"/>
      <c r="L52" s="42"/>
      <c r="M52" s="479"/>
      <c r="N52" s="479"/>
      <c r="O52" s="479"/>
      <c r="P52" s="479"/>
      <c r="Q52" s="31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79"/>
      <c r="AM52" s="479"/>
    </row>
    <row r="53" spans="1:39" ht="12.75" customHeight="1">
      <c r="B53" s="371"/>
      <c r="C53" s="372" t="s">
        <v>189</v>
      </c>
      <c r="D53" s="372"/>
      <c r="E53" s="38"/>
      <c r="F53" s="38"/>
      <c r="G53" s="400">
        <v>0</v>
      </c>
      <c r="H53" s="178" t="s">
        <v>235</v>
      </c>
      <c r="I53" s="181"/>
      <c r="J53" s="423"/>
      <c r="K53" s="424"/>
      <c r="L53" s="1"/>
      <c r="M53" s="479"/>
      <c r="N53" s="479"/>
      <c r="O53" s="479"/>
      <c r="P53" s="479"/>
      <c r="Q53" s="31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479"/>
      <c r="AK53" s="479"/>
      <c r="AL53" s="479"/>
      <c r="AM53" s="479"/>
    </row>
    <row r="54" spans="1:39" ht="12.75" customHeight="1">
      <c r="B54" s="371"/>
      <c r="C54" s="372" t="s">
        <v>190</v>
      </c>
      <c r="D54" s="372"/>
      <c r="E54" s="38"/>
      <c r="F54" s="38"/>
      <c r="G54" s="369">
        <v>1</v>
      </c>
      <c r="H54" s="178" t="s">
        <v>236</v>
      </c>
      <c r="I54" s="181"/>
      <c r="J54" s="420"/>
      <c r="K54" s="425"/>
      <c r="L54" s="1"/>
      <c r="M54" s="479"/>
      <c r="N54" s="479"/>
      <c r="O54" s="479"/>
      <c r="P54" s="479"/>
      <c r="Q54" s="31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79"/>
      <c r="AM54" s="479"/>
    </row>
    <row r="55" spans="1:39" ht="12.75" customHeight="1">
      <c r="B55" s="371"/>
      <c r="C55" s="372" t="s">
        <v>191</v>
      </c>
      <c r="D55" s="372"/>
      <c r="E55" s="38"/>
      <c r="F55" s="38"/>
      <c r="G55" s="369">
        <v>2</v>
      </c>
      <c r="H55" s="178" t="s">
        <v>236</v>
      </c>
      <c r="I55" s="181"/>
      <c r="J55" s="420"/>
      <c r="K55" s="425"/>
      <c r="L55" s="1"/>
      <c r="M55" s="479"/>
      <c r="N55" s="479"/>
      <c r="O55" s="479"/>
      <c r="P55" s="479"/>
      <c r="Q55" s="31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</row>
    <row r="56" spans="1:39" ht="12.75" customHeight="1">
      <c r="B56" s="371"/>
      <c r="C56" s="372" t="s">
        <v>192</v>
      </c>
      <c r="D56" s="372"/>
      <c r="E56" s="38"/>
      <c r="F56" s="38"/>
      <c r="G56" s="369">
        <v>0</v>
      </c>
      <c r="H56" s="178" t="s">
        <v>235</v>
      </c>
      <c r="I56" s="181"/>
      <c r="J56" s="418"/>
      <c r="K56" s="426"/>
      <c r="L56" s="1"/>
      <c r="M56" s="479"/>
      <c r="N56" s="479"/>
      <c r="O56" s="479"/>
      <c r="P56" s="479"/>
      <c r="Q56" s="31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</row>
    <row r="57" spans="1:39" ht="4.5" customHeight="1">
      <c r="A57" s="18"/>
      <c r="B57" s="18"/>
      <c r="C57" s="1"/>
      <c r="D57" s="181"/>
      <c r="E57" s="181"/>
      <c r="F57" s="181"/>
      <c r="G57" s="181"/>
      <c r="H57" s="181"/>
      <c r="I57" s="181"/>
      <c r="K57" s="251"/>
      <c r="L57" s="1"/>
      <c r="M57" s="479"/>
      <c r="N57" s="479"/>
      <c r="O57" s="479"/>
      <c r="P57" s="479"/>
      <c r="Q57" s="31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79"/>
      <c r="AK57" s="479"/>
      <c r="AL57" s="479"/>
      <c r="AM57" s="479"/>
    </row>
    <row r="58" spans="1:39" ht="12.75" customHeight="1">
      <c r="B58" s="18" t="s">
        <v>44</v>
      </c>
      <c r="C58" s="1"/>
      <c r="D58" s="180"/>
      <c r="E58" s="181"/>
      <c r="F58" s="181"/>
      <c r="G58" s="182">
        <f>SUM(G48:G56)</f>
        <v>12</v>
      </c>
      <c r="H58" s="181"/>
      <c r="I58" s="181"/>
      <c r="K58" s="251"/>
      <c r="L58" s="1"/>
      <c r="M58" s="479"/>
      <c r="N58" s="479"/>
      <c r="O58" s="479"/>
      <c r="P58" s="479"/>
      <c r="Q58" s="31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  <c r="AM58" s="479"/>
    </row>
    <row r="59" spans="1:39" ht="12.95" customHeight="1">
      <c r="B59" s="18"/>
      <c r="C59" s="1"/>
      <c r="D59" s="181"/>
      <c r="E59" s="181"/>
      <c r="F59" s="181"/>
      <c r="G59" s="181"/>
      <c r="H59" s="181"/>
      <c r="I59" s="181"/>
      <c r="K59" s="251"/>
      <c r="L59" s="1"/>
      <c r="M59" s="479"/>
      <c r="N59" s="479"/>
      <c r="O59" s="479"/>
      <c r="P59" s="479"/>
      <c r="Q59" s="31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  <c r="AM59" s="479"/>
    </row>
    <row r="60" spans="1:39" ht="12.95" customHeight="1">
      <c r="A60" s="174" t="s">
        <v>14</v>
      </c>
      <c r="B60" s="174"/>
      <c r="C60" s="173"/>
      <c r="D60" s="173"/>
      <c r="E60" s="173"/>
      <c r="F60" s="173"/>
      <c r="G60" s="173"/>
      <c r="H60" s="173"/>
      <c r="I60" s="173"/>
      <c r="J60" s="259"/>
      <c r="K60" s="1"/>
      <c r="M60" s="479"/>
      <c r="N60" s="479"/>
      <c r="O60" s="479"/>
      <c r="P60" s="479"/>
      <c r="Q60" s="31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  <c r="AM60" s="479"/>
    </row>
    <row r="61" spans="1:39" ht="4.5" customHeight="1">
      <c r="A61" s="174"/>
      <c r="B61" s="174"/>
      <c r="C61" s="174"/>
      <c r="D61" s="174"/>
      <c r="K61" s="1"/>
      <c r="M61" s="479"/>
      <c r="N61" s="479"/>
      <c r="O61" s="479"/>
      <c r="P61" s="479"/>
      <c r="Q61" s="31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  <c r="AM61" s="479"/>
    </row>
    <row r="62" spans="1:39" ht="12.75" customHeight="1">
      <c r="A62" s="183" t="s">
        <v>11</v>
      </c>
      <c r="B62" s="183"/>
      <c r="C62" s="1"/>
      <c r="G62" s="213">
        <f>K40</f>
        <v>26347000</v>
      </c>
      <c r="K62" s="1"/>
      <c r="M62" s="479"/>
      <c r="N62" s="479"/>
      <c r="O62" s="479"/>
      <c r="P62" s="479"/>
      <c r="Q62" s="31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</row>
    <row r="63" spans="1:39" ht="8.1" customHeight="1">
      <c r="A63" s="18"/>
      <c r="B63" s="18"/>
      <c r="C63" s="18"/>
      <c r="D63" s="18"/>
      <c r="E63" s="18"/>
      <c r="F63" s="18"/>
      <c r="G63" s="180"/>
      <c r="K63"/>
      <c r="M63" s="479"/>
      <c r="N63" s="479"/>
      <c r="O63" s="479"/>
      <c r="P63" s="479"/>
      <c r="Q63" s="31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79"/>
      <c r="AL63" s="479"/>
      <c r="AM63" s="479"/>
    </row>
    <row r="64" spans="1:39" ht="14.45" customHeight="1">
      <c r="A64" s="18" t="s">
        <v>67</v>
      </c>
      <c r="B64" s="18"/>
      <c r="C64" s="18"/>
      <c r="G64" s="104">
        <f>0.0214*G58+0.9143</f>
        <v>1.17</v>
      </c>
      <c r="H64" s="122"/>
      <c r="I64" s="122"/>
      <c r="K64"/>
      <c r="M64" s="479"/>
      <c r="N64" s="479"/>
      <c r="O64" s="479"/>
      <c r="P64" s="479"/>
      <c r="Q64" s="319"/>
      <c r="R64" s="479"/>
      <c r="S64" s="479"/>
      <c r="T64" s="479"/>
      <c r="U64" s="479"/>
      <c r="V64" s="479"/>
      <c r="W64" s="479"/>
      <c r="X64" s="479"/>
      <c r="Y64" s="479"/>
      <c r="Z64" s="479"/>
      <c r="AA64" s="479"/>
      <c r="AB64" s="479"/>
      <c r="AC64" s="479"/>
      <c r="AD64" s="479"/>
      <c r="AE64" s="479"/>
      <c r="AF64" s="479"/>
      <c r="AG64" s="479"/>
      <c r="AH64" s="479"/>
      <c r="AI64" s="479"/>
      <c r="AJ64" s="479"/>
      <c r="AK64" s="479"/>
      <c r="AL64" s="479"/>
      <c r="AM64" s="479"/>
    </row>
    <row r="65" spans="1:39" ht="4.5" customHeight="1">
      <c r="A65" s="18"/>
      <c r="B65" s="18"/>
      <c r="C65" s="18"/>
      <c r="G65" s="29"/>
      <c r="H65" s="122"/>
      <c r="I65" s="122"/>
      <c r="K65"/>
      <c r="M65" s="479"/>
      <c r="N65" s="479"/>
      <c r="O65" s="479"/>
      <c r="P65" s="479"/>
      <c r="Q65" s="319"/>
      <c r="R65" s="479"/>
      <c r="S65" s="479"/>
      <c r="T65" s="479"/>
      <c r="U65" s="479"/>
      <c r="V65" s="479"/>
      <c r="W65" s="479"/>
      <c r="X65" s="479"/>
      <c r="Y65" s="479"/>
      <c r="Z65" s="479"/>
      <c r="AA65" s="479"/>
      <c r="AB65" s="479"/>
      <c r="AC65" s="479"/>
      <c r="AD65" s="479"/>
      <c r="AE65" s="479"/>
      <c r="AF65" s="479"/>
      <c r="AG65" s="479"/>
      <c r="AH65" s="479"/>
      <c r="AI65" s="479"/>
      <c r="AJ65" s="479"/>
      <c r="AK65" s="479"/>
      <c r="AL65" s="479"/>
      <c r="AM65" s="479"/>
    </row>
    <row r="66" spans="1:39" ht="15.6" customHeight="1">
      <c r="A66" s="18" t="s">
        <v>123</v>
      </c>
      <c r="B66" s="18"/>
      <c r="C66" s="18"/>
      <c r="G66" s="373">
        <f>ROUND(IF(G62=0,"-",(1.75*(-0.0778*LN(G62)+2.022))*G64/100),6)</f>
        <v>1.4182E-2</v>
      </c>
      <c r="H66" s="439" t="s">
        <v>88</v>
      </c>
      <c r="I66" s="500" t="s">
        <v>124</v>
      </c>
      <c r="J66" s="500"/>
      <c r="K66" s="500"/>
      <c r="L66" s="276"/>
      <c r="M66" s="479"/>
      <c r="N66" s="479"/>
      <c r="O66" s="479"/>
      <c r="P66" s="479"/>
      <c r="Q66" s="31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79"/>
      <c r="AL66" s="479"/>
      <c r="AM66" s="479"/>
    </row>
    <row r="67" spans="1:39" ht="15.6" customHeight="1">
      <c r="A67" s="18" t="s">
        <v>122</v>
      </c>
      <c r="B67" s="18"/>
      <c r="C67" s="18"/>
      <c r="G67" s="407">
        <v>0</v>
      </c>
      <c r="H67" s="225"/>
      <c r="I67" s="500"/>
      <c r="J67" s="500"/>
      <c r="K67" s="500"/>
      <c r="L67" s="276"/>
      <c r="M67" s="479"/>
      <c r="N67" s="479"/>
      <c r="O67" s="479"/>
      <c r="P67" s="479"/>
      <c r="Q67" s="31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79"/>
      <c r="AL67" s="479"/>
      <c r="AM67" s="479"/>
    </row>
    <row r="68" spans="1:39" ht="8.1" customHeight="1">
      <c r="A68" s="18"/>
      <c r="B68" s="18"/>
      <c r="C68" s="18"/>
      <c r="G68" s="184"/>
      <c r="H68" s="184"/>
      <c r="I68" s="184"/>
      <c r="K68" s="276"/>
      <c r="L68" s="276"/>
      <c r="M68" s="479"/>
      <c r="N68" s="479"/>
      <c r="O68" s="479"/>
      <c r="P68" s="479"/>
      <c r="Q68" s="319"/>
      <c r="R68" s="479"/>
      <c r="S68" s="479"/>
      <c r="T68" s="479"/>
      <c r="U68" s="479"/>
      <c r="V68" s="479"/>
      <c r="W68" s="479"/>
      <c r="X68" s="479"/>
      <c r="Y68" s="479"/>
      <c r="Z68" s="479"/>
      <c r="AA68" s="479"/>
      <c r="AB68" s="479"/>
      <c r="AC68" s="479"/>
      <c r="AD68" s="479"/>
      <c r="AE68" s="479"/>
      <c r="AF68" s="479"/>
      <c r="AG68" s="479"/>
      <c r="AH68" s="479"/>
      <c r="AI68" s="479"/>
      <c r="AJ68" s="479"/>
      <c r="AK68" s="479"/>
      <c r="AL68" s="479"/>
      <c r="AM68" s="479"/>
    </row>
    <row r="69" spans="1:39" ht="15" customHeight="1">
      <c r="A69" s="21" t="s">
        <v>125</v>
      </c>
      <c r="B69" s="19"/>
      <c r="C69" s="19"/>
      <c r="D69" s="185"/>
      <c r="E69" s="185"/>
      <c r="F69" s="185"/>
      <c r="G69" s="186"/>
      <c r="H69" s="274">
        <f>IF(G62=0,"-",ROUND(G62*G66*(1+G67),2))</f>
        <v>373653</v>
      </c>
      <c r="I69" s="274"/>
      <c r="J69" s="48"/>
      <c r="K69" s="1"/>
      <c r="M69" s="480"/>
      <c r="N69" s="480"/>
      <c r="O69" s="480"/>
      <c r="P69" s="480"/>
      <c r="Q69" s="319"/>
      <c r="R69" s="480"/>
      <c r="S69" s="480"/>
      <c r="T69" s="480"/>
      <c r="U69" s="480"/>
      <c r="V69" s="480"/>
      <c r="W69" s="480"/>
      <c r="X69" s="480"/>
      <c r="Y69" s="480"/>
      <c r="Z69" s="480"/>
      <c r="AA69" s="480"/>
      <c r="AB69" s="480"/>
      <c r="AC69" s="480"/>
      <c r="AD69" s="480"/>
      <c r="AE69" s="480"/>
      <c r="AF69" s="480"/>
      <c r="AG69" s="480"/>
      <c r="AH69" s="480"/>
      <c r="AI69" s="480"/>
      <c r="AJ69" s="480"/>
      <c r="AK69" s="480"/>
      <c r="AL69" s="480"/>
      <c r="AM69" s="480"/>
    </row>
    <row r="70" spans="1:39" ht="12.95" customHeight="1">
      <c r="A70" s="24"/>
      <c r="B70" s="18"/>
      <c r="C70" s="18"/>
      <c r="D70" s="173"/>
      <c r="E70" s="173"/>
      <c r="F70" s="173"/>
      <c r="G70" s="187"/>
      <c r="H70" s="187"/>
      <c r="I70" s="187"/>
      <c r="K70" s="30"/>
      <c r="M70" s="491" t="s">
        <v>147</v>
      </c>
      <c r="N70" s="489"/>
      <c r="O70" s="489"/>
      <c r="P70" s="489"/>
      <c r="Q70" s="333"/>
      <c r="R70" s="489"/>
      <c r="S70" s="489" t="s">
        <v>209</v>
      </c>
      <c r="T70" s="489"/>
      <c r="U70" s="489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489"/>
      <c r="AG70" s="489"/>
      <c r="AH70" s="489"/>
      <c r="AI70" s="489"/>
      <c r="AJ70" s="489"/>
      <c r="AK70" s="489"/>
      <c r="AL70" s="489"/>
      <c r="AM70" s="489"/>
    </row>
    <row r="71" spans="1:39" ht="12.95" customHeight="1">
      <c r="A71" s="24"/>
      <c r="B71" s="18"/>
      <c r="C71" s="18"/>
      <c r="D71" s="173"/>
      <c r="E71" s="277" t="s">
        <v>128</v>
      </c>
      <c r="F71" s="301" t="s">
        <v>134</v>
      </c>
      <c r="G71" s="278" t="s">
        <v>5</v>
      </c>
      <c r="H71" s="187"/>
      <c r="I71" s="187"/>
      <c r="K71" s="30"/>
      <c r="M71" s="493"/>
      <c r="N71" s="494"/>
      <c r="O71" s="490"/>
      <c r="P71" s="490"/>
      <c r="Q71" s="324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  <c r="AD71" s="490"/>
      <c r="AE71" s="490"/>
      <c r="AF71" s="490"/>
      <c r="AG71" s="490"/>
      <c r="AH71" s="490"/>
      <c r="AI71" s="490"/>
      <c r="AJ71" s="490"/>
      <c r="AK71" s="490"/>
      <c r="AL71" s="490"/>
      <c r="AM71" s="490"/>
    </row>
    <row r="72" spans="1:39" ht="12.75" customHeight="1">
      <c r="A72" s="173" t="s">
        <v>33</v>
      </c>
      <c r="B72" s="173"/>
      <c r="C72" s="188"/>
      <c r="E72" s="279">
        <v>0.2</v>
      </c>
      <c r="F72" s="302">
        <f t="shared" ref="F72:F81" si="0">E72+M72</f>
        <v>0.21</v>
      </c>
      <c r="G72" s="331">
        <f>F72</f>
        <v>0.21</v>
      </c>
      <c r="H72" s="332">
        <f>IF($G$62=0,"-",$H$69*G72)</f>
        <v>78467</v>
      </c>
      <c r="I72" s="427"/>
      <c r="J72" s="326"/>
      <c r="K72" s="327"/>
      <c r="L72" s="328"/>
      <c r="M72" s="329">
        <f t="shared" ref="M72:M81" si="1">SUMIF($N$70:$AM$70,"*",N72:AM72)</f>
        <v>0.01</v>
      </c>
      <c r="N72" s="399"/>
      <c r="O72" s="399"/>
      <c r="P72" s="399"/>
      <c r="Q72" s="330"/>
      <c r="R72" s="399"/>
      <c r="S72" s="399">
        <v>0.01</v>
      </c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</row>
    <row r="73" spans="1:39" ht="12.75" customHeight="1">
      <c r="A73" s="173" t="s">
        <v>34</v>
      </c>
      <c r="B73" s="173"/>
      <c r="C73" s="188"/>
      <c r="E73" s="279">
        <v>0.06</v>
      </c>
      <c r="F73" s="302">
        <f t="shared" si="0"/>
        <v>0.08</v>
      </c>
      <c r="G73" s="331">
        <f t="shared" ref="G73:G80" si="2">F73</f>
        <v>0.08</v>
      </c>
      <c r="H73" s="332">
        <f t="shared" ref="H73:H81" si="3">IF($G$62=0,"-",$H$69*G73)</f>
        <v>29892</v>
      </c>
      <c r="I73" s="427"/>
      <c r="J73" s="326"/>
      <c r="K73" s="327"/>
      <c r="L73" s="328"/>
      <c r="M73" s="329">
        <f t="shared" si="1"/>
        <v>0.02</v>
      </c>
      <c r="N73" s="399"/>
      <c r="O73" s="399"/>
      <c r="P73" s="399"/>
      <c r="Q73" s="330"/>
      <c r="R73" s="399"/>
      <c r="S73" s="399">
        <v>0.02</v>
      </c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</row>
    <row r="74" spans="1:39" ht="12.75" customHeight="1">
      <c r="A74" s="173" t="s">
        <v>35</v>
      </c>
      <c r="B74" s="173"/>
      <c r="C74" s="188"/>
      <c r="E74" s="279">
        <v>0.08</v>
      </c>
      <c r="F74" s="302">
        <f t="shared" si="0"/>
        <v>0.11</v>
      </c>
      <c r="G74" s="331">
        <f t="shared" si="2"/>
        <v>0.11</v>
      </c>
      <c r="H74" s="332">
        <f t="shared" si="3"/>
        <v>41102</v>
      </c>
      <c r="I74" s="427"/>
      <c r="J74" s="326"/>
      <c r="K74" s="327"/>
      <c r="L74" s="328"/>
      <c r="M74" s="329">
        <f t="shared" si="1"/>
        <v>0.03</v>
      </c>
      <c r="N74" s="399"/>
      <c r="O74" s="399"/>
      <c r="P74" s="399"/>
      <c r="Q74" s="330"/>
      <c r="R74" s="399"/>
      <c r="S74" s="399">
        <v>0.03</v>
      </c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</row>
    <row r="75" spans="1:39" ht="12.75" customHeight="1">
      <c r="A75" s="173" t="s">
        <v>36</v>
      </c>
      <c r="B75" s="173"/>
      <c r="C75" s="188"/>
      <c r="E75" s="279">
        <v>0.03</v>
      </c>
      <c r="F75" s="302">
        <f t="shared" si="0"/>
        <v>0.04</v>
      </c>
      <c r="G75" s="331">
        <f t="shared" si="2"/>
        <v>0.04</v>
      </c>
      <c r="H75" s="332">
        <f t="shared" si="3"/>
        <v>14946</v>
      </c>
      <c r="I75" s="427"/>
      <c r="J75" s="326"/>
      <c r="K75" s="327"/>
      <c r="L75" s="328"/>
      <c r="M75" s="329">
        <f t="shared" si="1"/>
        <v>0.01</v>
      </c>
      <c r="N75" s="399"/>
      <c r="O75" s="399"/>
      <c r="P75" s="399"/>
      <c r="Q75" s="330"/>
      <c r="R75" s="399"/>
      <c r="S75" s="399">
        <v>0.01</v>
      </c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</row>
    <row r="76" spans="1:39" ht="12.75" customHeight="1">
      <c r="A76" s="173" t="s">
        <v>37</v>
      </c>
      <c r="B76" s="173"/>
      <c r="C76" s="188"/>
      <c r="E76" s="279">
        <v>0.17</v>
      </c>
      <c r="F76" s="302">
        <f t="shared" si="0"/>
        <v>0.19</v>
      </c>
      <c r="G76" s="331">
        <f t="shared" si="2"/>
        <v>0.19</v>
      </c>
      <c r="H76" s="332">
        <f t="shared" si="3"/>
        <v>70994</v>
      </c>
      <c r="I76" s="427"/>
      <c r="J76" s="326"/>
      <c r="K76" s="327"/>
      <c r="L76" s="328"/>
      <c r="M76" s="329">
        <f t="shared" si="1"/>
        <v>0.02</v>
      </c>
      <c r="N76" s="399"/>
      <c r="O76" s="399"/>
      <c r="P76" s="399"/>
      <c r="Q76" s="330"/>
      <c r="R76" s="399"/>
      <c r="S76" s="399">
        <v>0.02</v>
      </c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</row>
    <row r="77" spans="1:39" ht="12.75" customHeight="1">
      <c r="A77" s="173" t="s">
        <v>38</v>
      </c>
      <c r="B77" s="173"/>
      <c r="C77" s="188"/>
      <c r="E77" s="279">
        <v>0.08</v>
      </c>
      <c r="F77" s="302">
        <f t="shared" si="0"/>
        <v>0.09</v>
      </c>
      <c r="G77" s="331">
        <f t="shared" si="2"/>
        <v>0.09</v>
      </c>
      <c r="H77" s="332">
        <f t="shared" si="3"/>
        <v>33629</v>
      </c>
      <c r="I77" s="427"/>
      <c r="J77" s="326"/>
      <c r="K77" s="327"/>
      <c r="L77" s="328"/>
      <c r="M77" s="329">
        <f t="shared" si="1"/>
        <v>0.01</v>
      </c>
      <c r="N77" s="399"/>
      <c r="O77" s="399"/>
      <c r="P77" s="399"/>
      <c r="Q77" s="330"/>
      <c r="R77" s="399"/>
      <c r="S77" s="399">
        <v>0.01</v>
      </c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</row>
    <row r="78" spans="1:39" ht="12.75" customHeight="1">
      <c r="A78" s="173" t="s">
        <v>39</v>
      </c>
      <c r="B78" s="173"/>
      <c r="C78" s="188"/>
      <c r="E78" s="279">
        <v>0.02</v>
      </c>
      <c r="F78" s="302">
        <f t="shared" si="0"/>
        <v>0.02</v>
      </c>
      <c r="G78" s="331">
        <f t="shared" si="2"/>
        <v>0.02</v>
      </c>
      <c r="H78" s="332">
        <f t="shared" si="3"/>
        <v>7473</v>
      </c>
      <c r="I78" s="427"/>
      <c r="J78" s="326"/>
      <c r="K78" s="327"/>
      <c r="L78" s="328"/>
      <c r="M78" s="329">
        <f t="shared" si="1"/>
        <v>0</v>
      </c>
      <c r="N78" s="399"/>
      <c r="O78" s="399"/>
      <c r="P78" s="399"/>
      <c r="Q78" s="330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</row>
    <row r="79" spans="1:39" ht="12.75" customHeight="1">
      <c r="A79" s="173" t="s">
        <v>40</v>
      </c>
      <c r="B79" s="173"/>
      <c r="C79" s="188"/>
      <c r="E79" s="279">
        <v>0.03</v>
      </c>
      <c r="F79" s="302">
        <f t="shared" si="0"/>
        <v>0.03</v>
      </c>
      <c r="G79" s="331">
        <f t="shared" si="2"/>
        <v>0.03</v>
      </c>
      <c r="H79" s="332">
        <f t="shared" si="3"/>
        <v>11210</v>
      </c>
      <c r="I79" s="427"/>
      <c r="J79" s="326"/>
      <c r="K79" s="327"/>
      <c r="L79" s="328"/>
      <c r="M79" s="329">
        <f t="shared" si="1"/>
        <v>0</v>
      </c>
      <c r="N79" s="399"/>
      <c r="O79" s="399"/>
      <c r="P79" s="399"/>
      <c r="Q79" s="330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</row>
    <row r="80" spans="1:39" ht="12.75" customHeight="1">
      <c r="A80" s="173" t="s">
        <v>41</v>
      </c>
      <c r="B80" s="173"/>
      <c r="C80" s="188"/>
      <c r="E80" s="279">
        <v>0.3</v>
      </c>
      <c r="F80" s="302">
        <f t="shared" si="0"/>
        <v>0.3</v>
      </c>
      <c r="G80" s="331">
        <f t="shared" si="2"/>
        <v>0.3</v>
      </c>
      <c r="H80" s="332">
        <f t="shared" si="3"/>
        <v>112096</v>
      </c>
      <c r="I80" s="427"/>
      <c r="J80" s="326"/>
      <c r="K80" s="327"/>
      <c r="L80" s="328"/>
      <c r="M80" s="329">
        <f t="shared" si="1"/>
        <v>0</v>
      </c>
      <c r="N80" s="399"/>
      <c r="O80" s="399"/>
      <c r="P80" s="399"/>
      <c r="Q80" s="330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</row>
    <row r="81" spans="1:39" ht="12.75" customHeight="1">
      <c r="A81" s="185" t="s">
        <v>42</v>
      </c>
      <c r="B81" s="185"/>
      <c r="C81" s="189"/>
      <c r="D81" s="37"/>
      <c r="E81" s="280">
        <v>0.03</v>
      </c>
      <c r="F81" s="303">
        <f t="shared" si="0"/>
        <v>0.03</v>
      </c>
      <c r="G81" s="331">
        <v>0.03</v>
      </c>
      <c r="H81" s="332">
        <f t="shared" si="3"/>
        <v>11210</v>
      </c>
      <c r="I81" s="427"/>
      <c r="J81" s="326"/>
      <c r="K81" s="327"/>
      <c r="L81" s="328"/>
      <c r="M81" s="329">
        <f t="shared" si="1"/>
        <v>0</v>
      </c>
      <c r="N81" s="399"/>
      <c r="O81" s="399"/>
      <c r="P81" s="399"/>
      <c r="Q81" s="330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</row>
    <row r="82" spans="1:39" ht="15.75">
      <c r="A82" s="190" t="s">
        <v>43</v>
      </c>
      <c r="B82" s="173"/>
      <c r="C82" s="18"/>
      <c r="E82" s="341">
        <f>SUM(E72:E81)</f>
        <v>1</v>
      </c>
      <c r="F82" s="302">
        <f>SUM(F72:F81)</f>
        <v>1.1000000000000001</v>
      </c>
      <c r="G82" s="191">
        <f>SUM(G72:G81)</f>
        <v>1.1000000000000001</v>
      </c>
      <c r="H82" s="192">
        <f>SUM(H72:H81)</f>
        <v>411019</v>
      </c>
      <c r="I82" s="428"/>
      <c r="K82" s="149">
        <f>H82</f>
        <v>411019</v>
      </c>
      <c r="M82" s="338">
        <f>SUM(M72:M81)</f>
        <v>0.1</v>
      </c>
      <c r="N82" s="338">
        <f t="shared" ref="N82:U82" si="4">SUM(N72:N81)</f>
        <v>0</v>
      </c>
      <c r="O82" s="338">
        <f t="shared" si="4"/>
        <v>0</v>
      </c>
      <c r="P82" s="338">
        <f t="shared" si="4"/>
        <v>0</v>
      </c>
      <c r="Q82" s="338"/>
      <c r="R82" s="338">
        <f t="shared" si="4"/>
        <v>0</v>
      </c>
      <c r="S82" s="338">
        <f>SUM(S72:S81)</f>
        <v>0.1</v>
      </c>
      <c r="T82" s="338">
        <f>SUM(T72:T81)</f>
        <v>0</v>
      </c>
      <c r="U82" s="338">
        <f t="shared" si="4"/>
        <v>0</v>
      </c>
      <c r="V82" s="338">
        <f>SUM(V72:V81)</f>
        <v>0</v>
      </c>
      <c r="W82" s="338">
        <f t="shared" ref="W82:AF82" si="5">SUM(W72:W81)</f>
        <v>0</v>
      </c>
      <c r="X82" s="338">
        <f t="shared" si="5"/>
        <v>0</v>
      </c>
      <c r="Y82" s="338">
        <f t="shared" si="5"/>
        <v>0</v>
      </c>
      <c r="Z82" s="338">
        <f t="shared" si="5"/>
        <v>0</v>
      </c>
      <c r="AA82" s="338">
        <f t="shared" si="5"/>
        <v>0</v>
      </c>
      <c r="AB82" s="338">
        <f t="shared" si="5"/>
        <v>0</v>
      </c>
      <c r="AC82" s="338">
        <f t="shared" si="5"/>
        <v>0</v>
      </c>
      <c r="AD82" s="338">
        <f t="shared" si="5"/>
        <v>0</v>
      </c>
      <c r="AE82" s="338">
        <f t="shared" si="5"/>
        <v>0</v>
      </c>
      <c r="AF82" s="338">
        <f t="shared" si="5"/>
        <v>0</v>
      </c>
      <c r="AG82" s="338">
        <f t="shared" ref="AG82:AM82" si="6">SUM(AG72:AG81)</f>
        <v>0</v>
      </c>
      <c r="AH82" s="338">
        <f t="shared" si="6"/>
        <v>0</v>
      </c>
      <c r="AI82" s="338">
        <f t="shared" si="6"/>
        <v>0</v>
      </c>
      <c r="AJ82" s="338">
        <f t="shared" si="6"/>
        <v>0</v>
      </c>
      <c r="AK82" s="338">
        <f t="shared" si="6"/>
        <v>0</v>
      </c>
      <c r="AL82" s="338">
        <f t="shared" si="6"/>
        <v>0</v>
      </c>
      <c r="AM82" s="338">
        <f t="shared" si="6"/>
        <v>0</v>
      </c>
    </row>
    <row r="83" spans="1:39" customFormat="1" ht="4.5" customHeight="1"/>
    <row r="84" spans="1:39" ht="12.75" customHeight="1">
      <c r="A84" s="18" t="s">
        <v>232</v>
      </c>
      <c r="F84" s="379">
        <v>0.01</v>
      </c>
      <c r="G84" s="378">
        <v>0.01</v>
      </c>
      <c r="H84" s="257">
        <f>$H$69*G84</f>
        <v>3737</v>
      </c>
      <c r="I84" s="257"/>
      <c r="J84" s="1"/>
      <c r="K84" s="408"/>
    </row>
    <row r="85" spans="1:39" ht="12.75" customHeight="1">
      <c r="A85" s="18" t="s">
        <v>233</v>
      </c>
      <c r="F85" s="379">
        <v>0.01</v>
      </c>
      <c r="G85" s="378">
        <v>0.01</v>
      </c>
      <c r="H85" s="257">
        <f>$H$69*G85</f>
        <v>3737</v>
      </c>
      <c r="I85" s="257"/>
      <c r="J85" s="1"/>
      <c r="K85" s="408"/>
    </row>
    <row r="86" spans="1:39" ht="12.75" customHeight="1">
      <c r="A86" s="1" t="s">
        <v>217</v>
      </c>
      <c r="G86" s="390">
        <v>0.08</v>
      </c>
      <c r="H86" s="414">
        <f>IF($G$62=0,"-",$H$69*G86)</f>
        <v>29892</v>
      </c>
      <c r="I86" s="428"/>
      <c r="J86" s="1"/>
      <c r="K86" s="408"/>
    </row>
    <row r="87" spans="1:39" ht="12.75" customHeight="1">
      <c r="A87" s="413" t="s">
        <v>231</v>
      </c>
      <c r="B87" s="413"/>
      <c r="C87" s="413"/>
      <c r="D87" s="413"/>
      <c r="E87" s="413"/>
      <c r="F87" s="413"/>
      <c r="G87" s="191">
        <f>SUM(G82:G86)</f>
        <v>1.2</v>
      </c>
      <c r="H87" s="415">
        <f>SUM(H82:H86)</f>
        <v>448385</v>
      </c>
      <c r="I87" s="415"/>
      <c r="J87" s="413"/>
      <c r="K87" s="417">
        <f>H87</f>
        <v>448385</v>
      </c>
      <c r="L87" s="1"/>
      <c r="M87" s="402"/>
      <c r="N87" s="403"/>
      <c r="O87" s="403"/>
      <c r="P87" s="403"/>
      <c r="Q87" s="191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403"/>
      <c r="AH87" s="403"/>
      <c r="AI87" s="403"/>
      <c r="AJ87" s="403"/>
      <c r="AK87" s="403"/>
      <c r="AL87" s="403"/>
      <c r="AM87" s="403"/>
    </row>
    <row r="88" spans="1:39" ht="12.75" customHeight="1">
      <c r="A88" s="416"/>
      <c r="B88" s="416"/>
      <c r="C88" s="416"/>
      <c r="D88" s="416"/>
      <c r="E88" s="416"/>
      <c r="F88" s="416"/>
      <c r="G88" s="191"/>
      <c r="H88" s="415"/>
      <c r="I88" s="415"/>
      <c r="J88" s="191"/>
      <c r="K88" s="191"/>
      <c r="L88" s="1"/>
      <c r="M88" s="402"/>
      <c r="N88" s="403"/>
      <c r="O88" s="403"/>
      <c r="P88" s="403"/>
      <c r="Q88" s="191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403"/>
      <c r="AH88" s="403"/>
      <c r="AI88" s="403"/>
      <c r="AJ88" s="403"/>
      <c r="AK88" s="403"/>
      <c r="AL88" s="403"/>
      <c r="AM88" s="403"/>
    </row>
    <row r="89" spans="1:39" ht="12.75" customHeight="1">
      <c r="A89" s="34" t="s">
        <v>102</v>
      </c>
      <c r="G89" s="243">
        <v>0</v>
      </c>
      <c r="H89" s="244">
        <v>0</v>
      </c>
      <c r="I89" s="244"/>
      <c r="K89" s="149">
        <f>G89*H89</f>
        <v>0</v>
      </c>
    </row>
    <row r="90" spans="1:39" ht="12.75" customHeight="1">
      <c r="K90"/>
    </row>
    <row r="91" spans="1:39" s="24" customFormat="1" ht="12.75">
      <c r="A91" s="98" t="s">
        <v>93</v>
      </c>
      <c r="B91" s="99"/>
      <c r="C91" s="100"/>
      <c r="D91" s="100"/>
      <c r="E91" s="101"/>
      <c r="F91" s="102"/>
      <c r="G91" s="101"/>
      <c r="H91" s="101"/>
      <c r="I91" s="101"/>
      <c r="J91" s="101"/>
      <c r="K91" s="149">
        <f>SUM(K87:K90)</f>
        <v>448385</v>
      </c>
      <c r="M91" s="62"/>
      <c r="N91" s="63"/>
      <c r="O91" s="64"/>
    </row>
    <row r="92" spans="1:39" s="24" customFormat="1" ht="4.5" customHeight="1">
      <c r="B92" s="25"/>
      <c r="C92" s="26"/>
      <c r="D92" s="26"/>
      <c r="E92" s="49"/>
      <c r="F92" s="50"/>
      <c r="G92" s="51"/>
      <c r="H92" s="51"/>
      <c r="I92" s="51"/>
      <c r="K92" s="150"/>
      <c r="N92" s="25"/>
      <c r="O92" s="26"/>
    </row>
    <row r="93" spans="1:39" s="24" customFormat="1" ht="12.75">
      <c r="A93" s="52" t="s">
        <v>12</v>
      </c>
      <c r="B93" s="25"/>
      <c r="C93" s="26"/>
      <c r="D93" s="26"/>
      <c r="E93" s="50"/>
      <c r="F93" s="50"/>
      <c r="G93" s="237">
        <v>0.04</v>
      </c>
      <c r="H93" s="51"/>
      <c r="I93" s="51"/>
      <c r="K93" s="151">
        <f>IF(G62=0,"-",ROUND(K91*G93,2))</f>
        <v>17935</v>
      </c>
      <c r="M93" s="52"/>
      <c r="N93" s="25"/>
      <c r="O93" s="26"/>
    </row>
    <row r="94" spans="1:39" s="24" customFormat="1" ht="3" customHeight="1">
      <c r="A94" s="53"/>
      <c r="B94" s="54"/>
      <c r="C94" s="55"/>
      <c r="D94" s="55"/>
      <c r="E94" s="59"/>
      <c r="F94" s="59"/>
      <c r="G94" s="238"/>
      <c r="H94" s="67"/>
      <c r="I94" s="67"/>
      <c r="J94" s="53"/>
      <c r="K94" s="152"/>
      <c r="N94" s="25"/>
      <c r="O94" s="26"/>
    </row>
    <row r="95" spans="1:39" s="24" customFormat="1" ht="3" customHeight="1">
      <c r="B95" s="25"/>
      <c r="C95" s="26"/>
      <c r="D95" s="26"/>
      <c r="E95" s="60"/>
      <c r="F95" s="60"/>
      <c r="G95" s="239"/>
      <c r="H95" s="68"/>
      <c r="I95" s="68"/>
      <c r="J95" s="61"/>
      <c r="K95" s="150"/>
      <c r="N95" s="25"/>
      <c r="O95" s="26"/>
    </row>
    <row r="96" spans="1:39" s="24" customFormat="1" ht="12.75">
      <c r="A96" s="56" t="s">
        <v>94</v>
      </c>
      <c r="B96" s="57"/>
      <c r="C96" s="58"/>
      <c r="D96" s="58"/>
      <c r="E96" s="27"/>
      <c r="F96" s="27"/>
      <c r="G96" s="236"/>
      <c r="H96" s="51"/>
      <c r="I96" s="51"/>
      <c r="K96" s="151">
        <f>K91+K93</f>
        <v>466320</v>
      </c>
      <c r="M96" s="56"/>
      <c r="N96" s="57"/>
      <c r="O96" s="58"/>
    </row>
    <row r="97" spans="1:15" s="24" customFormat="1" ht="12.75">
      <c r="A97" s="24" t="s">
        <v>13</v>
      </c>
      <c r="B97" s="25"/>
      <c r="D97" s="26"/>
      <c r="E97" s="27"/>
      <c r="F97" s="27"/>
      <c r="G97" s="28">
        <v>0.2</v>
      </c>
      <c r="H97" s="28"/>
      <c r="I97" s="28"/>
      <c r="K97" s="151">
        <f>IF(G62=0,"-",ROUND(K96*G97,2))</f>
        <v>93264</v>
      </c>
      <c r="N97" s="25"/>
      <c r="O97" s="28"/>
    </row>
    <row r="98" spans="1:15" s="24" customFormat="1" ht="3" customHeight="1">
      <c r="B98" s="25"/>
      <c r="C98" s="26"/>
      <c r="D98" s="26"/>
      <c r="E98" s="27"/>
      <c r="F98" s="27"/>
      <c r="G98" s="51"/>
      <c r="H98" s="51"/>
      <c r="I98" s="51"/>
      <c r="K98" s="150"/>
      <c r="N98" s="25"/>
      <c r="O98" s="26"/>
    </row>
    <row r="99" spans="1:15" s="24" customFormat="1" ht="12.75">
      <c r="A99" s="202" t="s">
        <v>95</v>
      </c>
      <c r="B99" s="214"/>
      <c r="C99" s="203"/>
      <c r="D99" s="203"/>
      <c r="E99" s="204"/>
      <c r="F99" s="205"/>
      <c r="G99" s="206"/>
      <c r="H99" s="206"/>
      <c r="I99" s="206"/>
      <c r="J99" s="204"/>
      <c r="K99" s="215">
        <f>SUM(K95:K97)</f>
        <v>559584</v>
      </c>
      <c r="M99" s="56"/>
      <c r="N99" s="57"/>
      <c r="O99" s="58"/>
    </row>
    <row r="100" spans="1:15" ht="5.0999999999999996" customHeight="1"/>
    <row r="101" spans="1:15" s="216" customFormat="1" ht="12.75">
      <c r="A101" s="216" t="s">
        <v>86</v>
      </c>
      <c r="B101" s="217"/>
      <c r="C101" s="217"/>
      <c r="G101" s="223">
        <f>K96/G36</f>
        <v>1.34E-2</v>
      </c>
      <c r="J101" s="218"/>
      <c r="K101" s="219"/>
      <c r="L101" s="219"/>
      <c r="M101" s="288"/>
      <c r="N101" s="288"/>
      <c r="O101" s="288"/>
    </row>
  </sheetData>
  <sheetProtection algorithmName="SHA-512" hashValue="CXZJrtWZbN2muISXEpYPhj9BufelQfLRCIUMJg2Qk8A/Ym9fmMvVXGonPTIPcGroELnCRxd8Spi7Np08xb9Ckw==" saltValue="ONhAsK8SrjJJGWFQMkyYbQ==" spinCount="100000" sheet="1"/>
  <mergeCells count="90">
    <mergeCell ref="AM48:AM69"/>
    <mergeCell ref="AB48:AB69"/>
    <mergeCell ref="AC48:AC69"/>
    <mergeCell ref="AH48:AH69"/>
    <mergeCell ref="AI48:AI69"/>
    <mergeCell ref="AJ48:AJ69"/>
    <mergeCell ref="AK48:AK69"/>
    <mergeCell ref="M48:M69"/>
    <mergeCell ref="AF48:AF69"/>
    <mergeCell ref="AG48:AG69"/>
    <mergeCell ref="T48:T69"/>
    <mergeCell ref="U48:U69"/>
    <mergeCell ref="V48:V69"/>
    <mergeCell ref="W48:W69"/>
    <mergeCell ref="N48:N69"/>
    <mergeCell ref="AD5:AE6"/>
    <mergeCell ref="AF17:AL17"/>
    <mergeCell ref="AF19:AL19"/>
    <mergeCell ref="A23:B23"/>
    <mergeCell ref="O48:O69"/>
    <mergeCell ref="P48:P69"/>
    <mergeCell ref="R48:R69"/>
    <mergeCell ref="S48:S69"/>
    <mergeCell ref="AD48:AD69"/>
    <mergeCell ref="AE48:AE69"/>
    <mergeCell ref="X48:X69"/>
    <mergeCell ref="Y48:Y69"/>
    <mergeCell ref="Z48:Z69"/>
    <mergeCell ref="AA48:AA69"/>
    <mergeCell ref="I66:K67"/>
    <mergeCell ref="J47:K47"/>
    <mergeCell ref="A38:B38"/>
    <mergeCell ref="A26:B26"/>
    <mergeCell ref="A16:B16"/>
    <mergeCell ref="A25:B25"/>
    <mergeCell ref="A34:B34"/>
    <mergeCell ref="A24:B24"/>
    <mergeCell ref="A21:B21"/>
    <mergeCell ref="A18:B18"/>
    <mergeCell ref="A19:B19"/>
    <mergeCell ref="A32:B32"/>
    <mergeCell ref="AF15:AL15"/>
    <mergeCell ref="J2:K2"/>
    <mergeCell ref="A28:B28"/>
    <mergeCell ref="A30:B30"/>
    <mergeCell ref="A14:B14"/>
    <mergeCell ref="A17:B17"/>
    <mergeCell ref="AF22:AL22"/>
    <mergeCell ref="A12:B12"/>
    <mergeCell ref="A13:B13"/>
    <mergeCell ref="A9:B9"/>
    <mergeCell ref="A7:B7"/>
    <mergeCell ref="A11:B11"/>
    <mergeCell ref="A15:B15"/>
    <mergeCell ref="AF5:AI6"/>
    <mergeCell ref="AD7:AE8"/>
    <mergeCell ref="AD3:AE4"/>
    <mergeCell ref="AF3:AL4"/>
    <mergeCell ref="AF7:AL8"/>
    <mergeCell ref="AF9:AL9"/>
    <mergeCell ref="AF11:AL11"/>
    <mergeCell ref="AF13:AL13"/>
    <mergeCell ref="T70:T71"/>
    <mergeCell ref="AF21:AL21"/>
    <mergeCell ref="N70:N71"/>
    <mergeCell ref="U70:U71"/>
    <mergeCell ref="V70:V71"/>
    <mergeCell ref="W70:W71"/>
    <mergeCell ref="X70:X71"/>
    <mergeCell ref="Y70:Y71"/>
    <mergeCell ref="Z70:Z71"/>
    <mergeCell ref="AA70:AA71"/>
    <mergeCell ref="AB70:AB71"/>
    <mergeCell ref="AL48:AL69"/>
    <mergeCell ref="AC70:AC71"/>
    <mergeCell ref="AD70:AD71"/>
    <mergeCell ref="AE70:AE71"/>
    <mergeCell ref="M70:M71"/>
    <mergeCell ref="O70:O71"/>
    <mergeCell ref="P70:P71"/>
    <mergeCell ref="R70:R71"/>
    <mergeCell ref="S70:S71"/>
    <mergeCell ref="AM70:AM71"/>
    <mergeCell ref="AF70:AF71"/>
    <mergeCell ref="AG70:AG71"/>
    <mergeCell ref="AH70:AH71"/>
    <mergeCell ref="AI70:AI71"/>
    <mergeCell ref="AJ70:AJ71"/>
    <mergeCell ref="AK70:AK71"/>
    <mergeCell ref="AL70:AL71"/>
  </mergeCells>
  <conditionalFormatting sqref="N70:P71">
    <cfRule type="containsText" dxfId="23" priority="8" stopIfTrue="1" operator="containsText" text="x">
      <formula>NOT(ISERROR(SEARCH("x",N70)))</formula>
    </cfRule>
  </conditionalFormatting>
  <conditionalFormatting sqref="N72:P81">
    <cfRule type="expression" dxfId="22" priority="5" stopIfTrue="1">
      <formula>IF(N$70="x",TRUE())</formula>
    </cfRule>
  </conditionalFormatting>
  <conditionalFormatting sqref="R70:AM71">
    <cfRule type="containsText" dxfId="21" priority="2" stopIfTrue="1" operator="containsText" text="x">
      <formula>NOT(ISERROR(SEARCH("x",R70)))</formula>
    </cfRule>
  </conditionalFormatting>
  <conditionalFormatting sqref="R72:AM81">
    <cfRule type="expression" dxfId="20" priority="1" stopIfTrue="1">
      <formula>IF(R$70="x",TRUE())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1" pageOrder="overThenDown" orientation="landscape" r:id="rId1"/>
  <headerFooter>
    <oddHeader>&amp;L&amp;"Arial,Fett"&amp;K01+018Angebot Generalplaner gesamt  (GP 2b + Planung + ÖBA) mit BIM
&amp;"Arial,Standard"(TA Anlagengruppen gesamt)&amp;R&amp;"Arial,Standard"&amp;K01+019Version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999" r:id="rId4" name="Scroll Bar 1967">
              <controlPr defaultSize="0" autoPict="0">
                <anchor moveWithCells="1">
                  <from>
                    <xdr:col>9</xdr:col>
                    <xdr:colOff>9525</xdr:colOff>
                    <xdr:row>47</xdr:row>
                    <xdr:rowOff>28575</xdr:rowOff>
                  </from>
                  <to>
                    <xdr:col>10</xdr:col>
                    <xdr:colOff>1123950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0" r:id="rId5" name="Scroll Bar 1968">
              <controlPr defaultSize="0" autoPict="0">
                <anchor moveWithCells="1">
                  <from>
                    <xdr:col>9</xdr:col>
                    <xdr:colOff>19050</xdr:colOff>
                    <xdr:row>48</xdr:row>
                    <xdr:rowOff>28575</xdr:rowOff>
                  </from>
                  <to>
                    <xdr:col>10</xdr:col>
                    <xdr:colOff>1123950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1" r:id="rId6" name="Scroll Bar 1969">
              <controlPr defaultSize="0" autoPict="0">
                <anchor moveWithCells="1">
                  <from>
                    <xdr:col>9</xdr:col>
                    <xdr:colOff>19050</xdr:colOff>
                    <xdr:row>49</xdr:row>
                    <xdr:rowOff>28575</xdr:rowOff>
                  </from>
                  <to>
                    <xdr:col>10</xdr:col>
                    <xdr:colOff>1123950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2" r:id="rId7" name="Scroll Bar 1970">
              <controlPr defaultSize="0" autoPict="0">
                <anchor moveWithCells="1">
                  <from>
                    <xdr:col>9</xdr:col>
                    <xdr:colOff>19050</xdr:colOff>
                    <xdr:row>50</xdr:row>
                    <xdr:rowOff>28575</xdr:rowOff>
                  </from>
                  <to>
                    <xdr:col>10</xdr:col>
                    <xdr:colOff>1123950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3" r:id="rId8" name="Scroll Bar 1971">
              <controlPr defaultSize="0" autoPict="0">
                <anchor moveWithCells="1">
                  <from>
                    <xdr:col>9</xdr:col>
                    <xdr:colOff>19050</xdr:colOff>
                    <xdr:row>52</xdr:row>
                    <xdr:rowOff>28575</xdr:rowOff>
                  </from>
                  <to>
                    <xdr:col>10</xdr:col>
                    <xdr:colOff>1123950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4" r:id="rId9" name="Scroll Bar 1972">
              <controlPr defaultSize="0" autoPict="0">
                <anchor moveWithCells="1">
                  <from>
                    <xdr:col>9</xdr:col>
                    <xdr:colOff>19050</xdr:colOff>
                    <xdr:row>53</xdr:row>
                    <xdr:rowOff>28575</xdr:rowOff>
                  </from>
                  <to>
                    <xdr:col>10</xdr:col>
                    <xdr:colOff>1123950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5" r:id="rId10" name="Scroll Bar 1973">
              <controlPr defaultSize="0" autoPict="0">
                <anchor moveWithCells="1">
                  <from>
                    <xdr:col>9</xdr:col>
                    <xdr:colOff>19050</xdr:colOff>
                    <xdr:row>54</xdr:row>
                    <xdr:rowOff>28575</xdr:rowOff>
                  </from>
                  <to>
                    <xdr:col>10</xdr:col>
                    <xdr:colOff>1114425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6" r:id="rId11" name="Scroll Bar 1974">
              <controlPr defaultSize="0" autoPict="0">
                <anchor moveWithCells="1">
                  <from>
                    <xdr:col>9</xdr:col>
                    <xdr:colOff>19050</xdr:colOff>
                    <xdr:row>55</xdr:row>
                    <xdr:rowOff>28575</xdr:rowOff>
                  </from>
                  <to>
                    <xdr:col>10</xdr:col>
                    <xdr:colOff>1114425</xdr:colOff>
                    <xdr:row>55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92D050"/>
    <pageSetUpPr fitToPage="1"/>
  </sheetPr>
  <dimension ref="A1:AN108"/>
  <sheetViews>
    <sheetView showGridLines="0" zoomScale="115" zoomScaleNormal="115" zoomScaleSheetLayoutView="55" workbookViewId="0">
      <selection activeCell="G70" sqref="G70"/>
    </sheetView>
  </sheetViews>
  <sheetFormatPr baseColWidth="10" defaultColWidth="11.5703125" defaultRowHeight="14.25"/>
  <cols>
    <col min="1" max="1" width="0.85546875" style="1" customWidth="1"/>
    <col min="2" max="2" width="2.28515625" style="7" customWidth="1"/>
    <col min="3" max="3" width="3.28515625" style="7" customWidth="1"/>
    <col min="4" max="4" width="34.7109375" style="1" customWidth="1"/>
    <col min="5" max="5" width="8" style="1" customWidth="1"/>
    <col min="6" max="6" width="8.5703125" style="1" customWidth="1"/>
    <col min="7" max="7" width="14" style="1" customWidth="1"/>
    <col min="8" max="8" width="2.28515625" style="1" customWidth="1"/>
    <col min="9" max="9" width="12.7109375" style="1" customWidth="1"/>
    <col min="10" max="10" width="9.7109375" style="1" customWidth="1"/>
    <col min="11" max="11" width="13" style="8" customWidth="1" collapsed="1"/>
    <col min="12" max="12" width="13.7109375" style="9" customWidth="1"/>
    <col min="13" max="13" width="2.7109375" style="9" customWidth="1"/>
    <col min="14" max="16" width="6.5703125" style="284" customWidth="1"/>
    <col min="17" max="17" width="6.5703125" style="1" customWidth="1"/>
    <col min="18" max="18" width="35.5703125" style="1" customWidth="1"/>
    <col min="19" max="40" width="6.5703125" style="1" customWidth="1"/>
    <col min="41" max="16384" width="11.5703125" style="1"/>
  </cols>
  <sheetData>
    <row r="1" spans="1:40" ht="5.0999999999999996" customHeight="1"/>
    <row r="2" spans="1:40" s="39" customFormat="1" ht="35.1" customHeight="1">
      <c r="A2" s="111" t="s">
        <v>87</v>
      </c>
      <c r="C2" s="7"/>
      <c r="G2" s="40"/>
      <c r="H2" s="40"/>
      <c r="I2" s="40"/>
      <c r="J2" s="40"/>
      <c r="K2" s="496" t="s">
        <v>212</v>
      </c>
      <c r="L2" s="496"/>
      <c r="M2" s="45"/>
      <c r="N2" s="285"/>
      <c r="O2" s="285"/>
      <c r="P2" s="285"/>
      <c r="AF2" s="299" t="s">
        <v>135</v>
      </c>
      <c r="AG2" s="300"/>
      <c r="AH2" s="300"/>
      <c r="AI2" s="300"/>
      <c r="AJ2" s="300"/>
      <c r="AK2" s="300"/>
      <c r="AL2" s="300"/>
      <c r="AM2" s="321"/>
      <c r="AN2" s="323"/>
    </row>
    <row r="3" spans="1:40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2"/>
      <c r="AF3" s="473" t="s">
        <v>136</v>
      </c>
      <c r="AG3" s="474"/>
      <c r="AH3" s="487" t="str">
        <f>'GP2b Mgt. NEU BIM'!AF3</f>
        <v>Musterschulgebäude</v>
      </c>
      <c r="AI3" s="487"/>
      <c r="AJ3" s="487"/>
      <c r="AK3" s="487"/>
      <c r="AN3" s="289"/>
    </row>
    <row r="4" spans="1:40" s="10" customFormat="1" ht="6" customHeight="1">
      <c r="G4" s="131"/>
      <c r="L4" s="2"/>
      <c r="M4" s="2"/>
      <c r="AF4" s="473"/>
      <c r="AG4" s="474"/>
      <c r="AH4" s="487"/>
      <c r="AI4" s="487"/>
      <c r="AJ4" s="487"/>
      <c r="AK4" s="487"/>
      <c r="AN4" s="289"/>
    </row>
    <row r="5" spans="1:40" s="10" customFormat="1" ht="12.95" customHeight="1">
      <c r="F5" s="72" t="s">
        <v>63</v>
      </c>
      <c r="G5" s="93" t="s">
        <v>75</v>
      </c>
      <c r="H5" s="32"/>
      <c r="I5" s="32"/>
      <c r="J5" s="32"/>
      <c r="K5" s="12" t="s">
        <v>15</v>
      </c>
      <c r="L5" s="93" t="s">
        <v>50</v>
      </c>
      <c r="M5" s="32"/>
      <c r="AF5" s="473" t="s">
        <v>146</v>
      </c>
      <c r="AG5" s="474"/>
      <c r="AH5" s="487" t="str">
        <f>'Summenblatt Schule'!O5</f>
        <v>Schule 25 Mio BK</v>
      </c>
      <c r="AI5" s="487"/>
      <c r="AJ5" s="487"/>
      <c r="AK5" s="487"/>
      <c r="AN5" s="289"/>
    </row>
    <row r="6" spans="1:40" s="10" customFormat="1" ht="6" customHeight="1">
      <c r="G6" s="132"/>
      <c r="H6" s="70"/>
      <c r="L6" s="2"/>
      <c r="M6" s="2"/>
      <c r="AF6" s="473"/>
      <c r="AG6" s="474"/>
      <c r="AH6" s="487"/>
      <c r="AI6" s="487"/>
      <c r="AJ6" s="487"/>
      <c r="AK6" s="487"/>
      <c r="AN6" s="289"/>
    </row>
    <row r="7" spans="1:40" s="11" customFormat="1" ht="12.95" customHeight="1">
      <c r="A7" s="484">
        <v>1</v>
      </c>
      <c r="B7" s="484"/>
      <c r="C7" s="79"/>
      <c r="D7" s="80" t="s">
        <v>0</v>
      </c>
      <c r="E7" s="80"/>
      <c r="F7" s="140">
        <f>G7/$G$36</f>
        <v>1E-3</v>
      </c>
      <c r="G7" s="156">
        <f>_1</f>
        <v>50000</v>
      </c>
      <c r="H7" s="3"/>
      <c r="I7" s="75"/>
      <c r="J7" s="75"/>
      <c r="K7" s="246">
        <v>0</v>
      </c>
      <c r="L7" s="157">
        <f>G7*K7</f>
        <v>0</v>
      </c>
      <c r="M7" s="36"/>
      <c r="AF7" s="473" t="s">
        <v>137</v>
      </c>
      <c r="AG7" s="474"/>
      <c r="AH7" s="466" t="str">
        <f>'GP2b Mgt. NEU BIM'!AF7</f>
        <v>Musterstraße, 9999 Stadt</v>
      </c>
      <c r="AI7" s="466"/>
      <c r="AJ7" s="466"/>
      <c r="AK7" s="466"/>
      <c r="AL7" s="466"/>
      <c r="AM7" s="466"/>
      <c r="AN7" s="290"/>
    </row>
    <row r="8" spans="1:40" ht="6.95" customHeight="1">
      <c r="B8" s="4"/>
      <c r="C8" s="6"/>
      <c r="F8" s="141"/>
      <c r="G8" s="125"/>
      <c r="H8" s="23"/>
      <c r="K8" s="71"/>
      <c r="L8" s="125"/>
      <c r="M8" s="46"/>
      <c r="AF8" s="473"/>
      <c r="AG8" s="474"/>
      <c r="AH8" s="466"/>
      <c r="AI8" s="466"/>
      <c r="AJ8" s="466"/>
      <c r="AK8" s="466"/>
      <c r="AL8" s="466"/>
      <c r="AM8" s="466"/>
      <c r="AN8" s="291"/>
    </row>
    <row r="9" spans="1:40" s="11" customFormat="1" ht="12.95" customHeight="1">
      <c r="A9" s="484">
        <v>2</v>
      </c>
      <c r="B9" s="484"/>
      <c r="C9" s="79"/>
      <c r="D9" s="80" t="s">
        <v>1</v>
      </c>
      <c r="E9" s="80"/>
      <c r="F9" s="140">
        <f>G9/$G$36</f>
        <v>0.27900000000000003</v>
      </c>
      <c r="G9" s="156">
        <f>_2</f>
        <v>9700000</v>
      </c>
      <c r="H9" s="3"/>
      <c r="I9" s="75"/>
      <c r="J9" s="75"/>
      <c r="K9" s="246">
        <v>1</v>
      </c>
      <c r="L9" s="157">
        <f>G9*K9</f>
        <v>9700000</v>
      </c>
      <c r="M9" s="36"/>
      <c r="AF9" s="297" t="s">
        <v>138</v>
      </c>
      <c r="AG9" s="298"/>
      <c r="AH9" s="466" t="str">
        <f>'GP2b Mgt. NEU BIM'!AF11</f>
        <v xml:space="preserve"> </v>
      </c>
      <c r="AI9" s="466"/>
      <c r="AJ9" s="466"/>
      <c r="AK9" s="466"/>
      <c r="AL9" s="123"/>
      <c r="AN9" s="290"/>
    </row>
    <row r="10" spans="1:40" ht="6.95" customHeight="1">
      <c r="F10" s="141"/>
      <c r="G10" s="124"/>
      <c r="H10" s="23"/>
      <c r="K10" s="71"/>
      <c r="L10" s="124"/>
      <c r="M10" s="36"/>
      <c r="AF10" s="297"/>
      <c r="AG10" s="298"/>
      <c r="AH10" s="304"/>
      <c r="AI10" s="304"/>
      <c r="AJ10" s="304"/>
      <c r="AK10" s="304"/>
      <c r="AL10" s="304"/>
      <c r="AN10" s="291"/>
    </row>
    <row r="11" spans="1:40" s="10" customFormat="1" ht="12.95" customHeight="1">
      <c r="A11" s="484">
        <v>3</v>
      </c>
      <c r="B11" s="484"/>
      <c r="C11" s="79"/>
      <c r="D11" s="80" t="s">
        <v>7</v>
      </c>
      <c r="E11" s="80"/>
      <c r="F11" s="140">
        <f>G11/$G$36</f>
        <v>0.18099999999999999</v>
      </c>
      <c r="G11" s="157">
        <f>_3</f>
        <v>6300000</v>
      </c>
      <c r="H11" s="3"/>
      <c r="I11" s="75"/>
      <c r="J11" s="75"/>
      <c r="K11" s="431" t="str">
        <f>IF(G11&gt;(G9+G21)/2,"Abminderung","keine Abminderung")</f>
        <v>keine Abminderung</v>
      </c>
      <c r="L11" s="432">
        <f>IF(K11="Abminderung",0,G11)</f>
        <v>6300000</v>
      </c>
      <c r="M11" s="36"/>
      <c r="AF11" s="297" t="s">
        <v>151</v>
      </c>
      <c r="AG11" s="298"/>
      <c r="AH11" s="502"/>
      <c r="AI11" s="502"/>
      <c r="AJ11" s="502"/>
      <c r="AK11" s="502"/>
      <c r="AL11" s="502"/>
      <c r="AM11" s="502"/>
      <c r="AN11" s="289"/>
    </row>
    <row r="12" spans="1:40" ht="12.95" customHeight="1">
      <c r="A12" s="498">
        <v>3</v>
      </c>
      <c r="B12" s="498"/>
      <c r="C12" s="83" t="s">
        <v>16</v>
      </c>
      <c r="D12" s="84" t="s">
        <v>17</v>
      </c>
      <c r="E12" s="84"/>
      <c r="F12" s="142"/>
      <c r="G12" s="153">
        <f>_3.01</f>
        <v>2000000</v>
      </c>
      <c r="H12" s="23"/>
      <c r="I12" s="429" t="s">
        <v>240</v>
      </c>
      <c r="M12" s="36"/>
      <c r="AF12" s="297"/>
      <c r="AG12" s="298"/>
      <c r="AH12" s="304"/>
      <c r="AI12" s="304"/>
      <c r="AJ12" s="304"/>
      <c r="AK12" s="304"/>
      <c r="AL12" s="304"/>
      <c r="AN12" s="291"/>
    </row>
    <row r="13" spans="1:40" ht="12.95" customHeight="1">
      <c r="A13" s="497">
        <v>3</v>
      </c>
      <c r="B13" s="497"/>
      <c r="C13" s="87" t="s">
        <v>18</v>
      </c>
      <c r="D13" s="88" t="s">
        <v>25</v>
      </c>
      <c r="E13" s="88"/>
      <c r="F13" s="143"/>
      <c r="G13" s="154">
        <f>_3.02</f>
        <v>0</v>
      </c>
      <c r="H13" s="23"/>
      <c r="I13" s="429" t="s">
        <v>241</v>
      </c>
      <c r="L13" s="124"/>
      <c r="M13" s="36"/>
      <c r="AF13" s="297" t="s">
        <v>176</v>
      </c>
      <c r="AG13" s="298"/>
      <c r="AH13" s="502"/>
      <c r="AI13" s="502"/>
      <c r="AJ13" s="502"/>
      <c r="AK13" s="502"/>
      <c r="AL13" s="502"/>
      <c r="AM13" s="502"/>
      <c r="AN13" s="291"/>
    </row>
    <row r="14" spans="1:40" ht="12.95" customHeight="1">
      <c r="A14" s="497">
        <v>3</v>
      </c>
      <c r="B14" s="497"/>
      <c r="C14" s="87" t="s">
        <v>19</v>
      </c>
      <c r="D14" s="88" t="s">
        <v>26</v>
      </c>
      <c r="E14" s="88"/>
      <c r="F14" s="143"/>
      <c r="G14" s="155">
        <f>_3.03</f>
        <v>1500000</v>
      </c>
      <c r="H14" s="23"/>
      <c r="I14" s="39" t="s">
        <v>242</v>
      </c>
      <c r="J14" s="247">
        <f>G9+G21</f>
        <v>18700000</v>
      </c>
      <c r="K14" s="430">
        <f>G9+G21</f>
        <v>18700000</v>
      </c>
      <c r="L14" s="501" t="str">
        <f>IF(K11="Abminderung","$","")</f>
        <v/>
      </c>
      <c r="M14" s="36"/>
      <c r="AF14" s="297"/>
      <c r="AG14" s="298"/>
      <c r="AH14" s="304"/>
      <c r="AI14" s="304"/>
      <c r="AJ14" s="304"/>
      <c r="AK14" s="304"/>
      <c r="AL14" s="304"/>
      <c r="AN14" s="291"/>
    </row>
    <row r="15" spans="1:40" ht="12.95" customHeight="1">
      <c r="A15" s="497">
        <v>3</v>
      </c>
      <c r="B15" s="497"/>
      <c r="C15" s="87" t="s">
        <v>20</v>
      </c>
      <c r="D15" s="88" t="s">
        <v>27</v>
      </c>
      <c r="E15" s="88"/>
      <c r="F15" s="143"/>
      <c r="G15" s="155">
        <f>_3.04</f>
        <v>1500000</v>
      </c>
      <c r="H15" s="23"/>
      <c r="I15" s="71" t="s">
        <v>65</v>
      </c>
      <c r="J15" s="247">
        <f>J14*0.5</f>
        <v>9350000</v>
      </c>
      <c r="K15" s="430">
        <f>K14*0.5</f>
        <v>9350000</v>
      </c>
      <c r="L15" s="501"/>
      <c r="M15" s="36"/>
      <c r="N15" s="31"/>
      <c r="AF15" s="297" t="s">
        <v>139</v>
      </c>
      <c r="AG15" s="298"/>
      <c r="AH15" s="467" t="str">
        <f>'GP2b Mgt. NEU BIM'!AF15</f>
        <v>nn m²</v>
      </c>
      <c r="AI15" s="467"/>
      <c r="AJ15" s="467"/>
      <c r="AK15" s="467"/>
      <c r="AL15" s="304"/>
      <c r="AN15" s="291"/>
    </row>
    <row r="16" spans="1:40" ht="12.95" customHeight="1">
      <c r="A16" s="497">
        <v>3</v>
      </c>
      <c r="B16" s="497"/>
      <c r="C16" s="87" t="s">
        <v>21</v>
      </c>
      <c r="D16" s="88" t="s">
        <v>30</v>
      </c>
      <c r="E16" s="88"/>
      <c r="F16" s="143"/>
      <c r="G16" s="155">
        <f>_3.05</f>
        <v>300000</v>
      </c>
      <c r="H16" s="23"/>
      <c r="I16" s="107"/>
      <c r="J16" s="107"/>
      <c r="K16" s="433" t="str">
        <f>IF(K11="Abminderung",100%,"")</f>
        <v/>
      </c>
      <c r="L16" s="434" t="str">
        <f>IF(K11="Abminderung",K15,"")</f>
        <v/>
      </c>
      <c r="M16" s="36"/>
      <c r="N16" s="31"/>
      <c r="AF16" s="297"/>
      <c r="AG16" s="298"/>
      <c r="AH16" s="304"/>
      <c r="AI16" s="304"/>
      <c r="AJ16" s="304"/>
      <c r="AK16" s="304"/>
      <c r="AL16" s="304"/>
      <c r="AN16" s="291"/>
    </row>
    <row r="17" spans="1:40" ht="12.95" customHeight="1">
      <c r="A17" s="497">
        <v>3</v>
      </c>
      <c r="B17" s="497"/>
      <c r="C17" s="87" t="s">
        <v>22</v>
      </c>
      <c r="D17" s="88" t="s">
        <v>28</v>
      </c>
      <c r="E17" s="88"/>
      <c r="F17" s="143"/>
      <c r="G17" s="155">
        <f>_3.06</f>
        <v>500000</v>
      </c>
      <c r="H17" s="23"/>
      <c r="I17" s="107"/>
      <c r="J17" s="107"/>
      <c r="K17" s="71"/>
      <c r="L17" s="501" t="str">
        <f>IF(K11="Abminderung","$","")</f>
        <v/>
      </c>
      <c r="M17" s="36"/>
      <c r="N17" s="31"/>
      <c r="AF17" s="297" t="s">
        <v>140</v>
      </c>
      <c r="AG17" s="298"/>
      <c r="AH17" s="467" t="str">
        <f>'GP2b Mgt. NEU BIM'!AF17</f>
        <v>nn m²</v>
      </c>
      <c r="AI17" s="467"/>
      <c r="AJ17" s="467"/>
      <c r="AK17" s="467"/>
      <c r="AL17" s="304"/>
      <c r="AN17" s="291"/>
    </row>
    <row r="18" spans="1:40" ht="12.95" customHeight="1">
      <c r="A18" s="497">
        <v>3</v>
      </c>
      <c r="B18" s="497"/>
      <c r="C18" s="87" t="s">
        <v>23</v>
      </c>
      <c r="D18" s="88" t="s">
        <v>29</v>
      </c>
      <c r="E18" s="88"/>
      <c r="F18" s="143"/>
      <c r="G18" s="155">
        <f>_3.07</f>
        <v>0</v>
      </c>
      <c r="H18" s="23"/>
      <c r="I18" s="107"/>
      <c r="J18" s="435" t="str">
        <f>IF(K11="Abminderung","Differenz zu KGR 3 =","")</f>
        <v/>
      </c>
      <c r="K18" s="436" t="str">
        <f>IF(K11="Abminderung",G11-K15,"")</f>
        <v/>
      </c>
      <c r="L18" s="501"/>
      <c r="M18" s="36"/>
      <c r="N18" s="31"/>
      <c r="AF18" s="297"/>
      <c r="AG18" s="298"/>
      <c r="AH18" s="304"/>
      <c r="AI18" s="304"/>
      <c r="AJ18" s="304"/>
      <c r="AK18" s="304"/>
      <c r="AL18" s="304"/>
      <c r="AN18" s="291"/>
    </row>
    <row r="19" spans="1:40" ht="12.95" customHeight="1">
      <c r="A19" s="497">
        <v>3</v>
      </c>
      <c r="B19" s="497"/>
      <c r="C19" s="87" t="s">
        <v>24</v>
      </c>
      <c r="D19" s="88" t="s">
        <v>8</v>
      </c>
      <c r="E19" s="88"/>
      <c r="F19" s="143"/>
      <c r="G19" s="155">
        <f>_3.08</f>
        <v>500000</v>
      </c>
      <c r="H19" s="23"/>
      <c r="I19" s="107"/>
      <c r="J19" s="107"/>
      <c r="K19" s="433" t="str">
        <f>IF(K11="Abminderung",50%,"")</f>
        <v/>
      </c>
      <c r="L19" s="437" t="str">
        <f>IF(K11="Abminderung",K19*K18,"")</f>
        <v/>
      </c>
      <c r="M19" s="36"/>
      <c r="N19" s="31"/>
      <c r="AF19" s="297" t="s">
        <v>141</v>
      </c>
      <c r="AG19" s="298"/>
      <c r="AH19" s="467" t="str">
        <f>'GP2b Mgt. NEU BIM'!AF19</f>
        <v>nn m³</v>
      </c>
      <c r="AI19" s="467"/>
      <c r="AJ19" s="467"/>
      <c r="AK19" s="467"/>
      <c r="AL19" s="304"/>
      <c r="AN19" s="291"/>
    </row>
    <row r="20" spans="1:40" ht="6.95" customHeight="1">
      <c r="F20" s="141"/>
      <c r="G20" s="124"/>
      <c r="H20" s="23"/>
      <c r="K20" s="248"/>
      <c r="L20" s="124"/>
      <c r="M20" s="3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F20" s="473" t="s">
        <v>142</v>
      </c>
      <c r="AG20" s="298"/>
      <c r="AH20" s="466" t="str">
        <f>'GP2b Mgt. NEU BIM'!AF21</f>
        <v>nn m³</v>
      </c>
      <c r="AI20" s="466"/>
      <c r="AJ20" s="466"/>
      <c r="AK20" s="466"/>
      <c r="AL20" s="123"/>
      <c r="AM20" s="10"/>
      <c r="AN20" s="289"/>
    </row>
    <row r="21" spans="1:40" s="10" customFormat="1" ht="12.75" customHeight="1">
      <c r="A21" s="484">
        <v>4</v>
      </c>
      <c r="B21" s="484"/>
      <c r="C21" s="79"/>
      <c r="D21" s="80" t="s">
        <v>2</v>
      </c>
      <c r="E21" s="80"/>
      <c r="F21" s="140">
        <f>G21/$G$36</f>
        <v>0.25900000000000001</v>
      </c>
      <c r="G21" s="156">
        <v>9000000</v>
      </c>
      <c r="H21" s="3"/>
      <c r="I21" s="75"/>
      <c r="J21" s="75"/>
      <c r="K21" s="246">
        <v>1</v>
      </c>
      <c r="L21" s="157">
        <f>G21*K21</f>
        <v>9000000</v>
      </c>
      <c r="M21" s="36"/>
      <c r="N21" s="284"/>
      <c r="O21" s="284"/>
      <c r="P21" s="28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F21" s="473"/>
      <c r="AG21" s="298"/>
      <c r="AH21" s="466"/>
      <c r="AI21" s="466"/>
      <c r="AJ21" s="466"/>
      <c r="AK21" s="466"/>
      <c r="AL21" s="1"/>
      <c r="AM21" s="1"/>
      <c r="AN21" s="291"/>
    </row>
    <row r="22" spans="1:40" ht="6.95" customHeight="1">
      <c r="B22" s="4"/>
      <c r="C22" s="6"/>
      <c r="F22" s="141"/>
      <c r="G22" s="124"/>
      <c r="H22" s="23"/>
      <c r="K22" s="71"/>
      <c r="L22" s="124"/>
      <c r="M22" s="3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F22" s="473"/>
      <c r="AG22" s="474"/>
      <c r="AH22" s="11"/>
      <c r="AI22" s="11"/>
      <c r="AJ22" s="11"/>
      <c r="AK22" s="11"/>
      <c r="AL22" s="11"/>
      <c r="AM22" s="11"/>
      <c r="AN22" s="290"/>
    </row>
    <row r="23" spans="1:40" s="11" customFormat="1" ht="12.95" customHeight="1">
      <c r="A23" s="484">
        <v>5</v>
      </c>
      <c r="B23" s="484"/>
      <c r="C23" s="79"/>
      <c r="D23" s="80" t="s">
        <v>9</v>
      </c>
      <c r="E23" s="80"/>
      <c r="F23" s="140">
        <f>G23/$G$36</f>
        <v>4.0000000000000001E-3</v>
      </c>
      <c r="G23" s="158">
        <f>_5</f>
        <v>130000</v>
      </c>
      <c r="H23" s="3"/>
      <c r="I23" s="75"/>
      <c r="J23" s="75"/>
      <c r="K23" s="71"/>
      <c r="L23" s="124"/>
      <c r="M23" s="36"/>
      <c r="N23" s="284"/>
      <c r="O23" s="284"/>
      <c r="P23" s="28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F23" s="473"/>
      <c r="AG23" s="474"/>
      <c r="AH23" s="1"/>
      <c r="AI23" s="1"/>
      <c r="AJ23" s="1"/>
      <c r="AK23" s="1"/>
      <c r="AL23" s="1"/>
      <c r="AM23" s="1"/>
      <c r="AN23" s="291"/>
    </row>
    <row r="24" spans="1:40" ht="12.95" customHeight="1">
      <c r="A24" s="498">
        <v>5</v>
      </c>
      <c r="B24" s="498"/>
      <c r="C24" s="90" t="s">
        <v>16</v>
      </c>
      <c r="D24" s="84" t="s">
        <v>103</v>
      </c>
      <c r="E24" s="84"/>
      <c r="F24" s="142"/>
      <c r="G24" s="154">
        <f>_5.01</f>
        <v>100000</v>
      </c>
      <c r="H24" s="23"/>
      <c r="I24" s="75"/>
      <c r="J24" s="75"/>
      <c r="K24" s="108">
        <v>0</v>
      </c>
      <c r="L24" s="158">
        <f>K24*G24</f>
        <v>0</v>
      </c>
      <c r="M24" s="36"/>
      <c r="AF24" s="473"/>
      <c r="AG24" s="474"/>
      <c r="AN24" s="291"/>
    </row>
    <row r="25" spans="1:40" ht="12.95" customHeight="1">
      <c r="A25" s="499">
        <v>5</v>
      </c>
      <c r="B25" s="499"/>
      <c r="C25" s="91" t="s">
        <v>18</v>
      </c>
      <c r="D25" s="253" t="s">
        <v>104</v>
      </c>
      <c r="E25" s="253"/>
      <c r="F25" s="254"/>
      <c r="G25" s="154">
        <f>_5.02</f>
        <v>20000</v>
      </c>
      <c r="H25" s="23"/>
      <c r="I25" s="75"/>
      <c r="J25" s="75"/>
      <c r="K25" s="108">
        <v>0</v>
      </c>
      <c r="L25" s="158">
        <f>K25*G25</f>
        <v>0</v>
      </c>
      <c r="M25" s="36"/>
      <c r="AF25" s="473"/>
      <c r="AG25" s="474"/>
      <c r="AN25" s="291"/>
    </row>
    <row r="26" spans="1:40" ht="12.95" customHeight="1">
      <c r="A26" s="499">
        <v>5</v>
      </c>
      <c r="B26" s="499"/>
      <c r="C26" s="91" t="s">
        <v>19</v>
      </c>
      <c r="D26" s="88" t="s">
        <v>51</v>
      </c>
      <c r="E26" s="88"/>
      <c r="F26" s="143"/>
      <c r="G26" s="154">
        <f>_5.03</f>
        <v>10000</v>
      </c>
      <c r="H26" s="23"/>
      <c r="I26" s="75"/>
      <c r="J26" s="75"/>
      <c r="K26" s="246">
        <v>0</v>
      </c>
      <c r="L26" s="157">
        <f>G26*K26</f>
        <v>0</v>
      </c>
      <c r="M26" s="36"/>
      <c r="AF26" s="473"/>
      <c r="AG26" s="474"/>
      <c r="AN26" s="291"/>
    </row>
    <row r="27" spans="1:40" ht="6.95" customHeight="1">
      <c r="F27" s="141"/>
      <c r="G27" s="124"/>
      <c r="H27" s="23"/>
      <c r="K27" s="71"/>
      <c r="L27" s="124"/>
      <c r="M27" s="36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F27" s="473"/>
      <c r="AG27" s="474"/>
      <c r="AH27" s="10"/>
      <c r="AI27" s="10"/>
      <c r="AJ27" s="10"/>
      <c r="AK27" s="10"/>
      <c r="AL27" s="10"/>
      <c r="AM27" s="10"/>
      <c r="AN27" s="289"/>
    </row>
    <row r="28" spans="1:40" s="10" customFormat="1" ht="12.95" customHeight="1">
      <c r="A28" s="484">
        <v>6</v>
      </c>
      <c r="B28" s="484"/>
      <c r="C28" s="79"/>
      <c r="D28" s="80" t="s">
        <v>3</v>
      </c>
      <c r="E28" s="80"/>
      <c r="F28" s="140">
        <f>G28/$G$36</f>
        <v>1E-3</v>
      </c>
      <c r="G28" s="156">
        <f>_6</f>
        <v>35000</v>
      </c>
      <c r="H28" s="3"/>
      <c r="I28" s="75"/>
      <c r="J28" s="75"/>
      <c r="K28" s="246">
        <v>0</v>
      </c>
      <c r="L28" s="157">
        <f>G28*K28</f>
        <v>0</v>
      </c>
      <c r="M28" s="36"/>
      <c r="N28" s="9"/>
      <c r="O28" s="284"/>
      <c r="P28" s="28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F28" s="473"/>
      <c r="AG28" s="474"/>
      <c r="AH28" s="1"/>
      <c r="AI28" s="1"/>
      <c r="AJ28" s="1"/>
      <c r="AK28" s="1"/>
      <c r="AL28" s="1"/>
      <c r="AM28" s="1"/>
      <c r="AN28" s="291"/>
    </row>
    <row r="29" spans="1:40" ht="6.95" customHeight="1">
      <c r="B29" s="13"/>
      <c r="C29" s="5"/>
      <c r="F29" s="144"/>
      <c r="G29" s="124"/>
      <c r="H29" s="23"/>
      <c r="K29" s="71"/>
      <c r="L29" s="124"/>
      <c r="M29" s="36"/>
      <c r="N29" s="3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F29" s="473"/>
      <c r="AG29" s="474"/>
      <c r="AH29" s="11"/>
      <c r="AI29" s="11"/>
      <c r="AJ29" s="11"/>
      <c r="AK29" s="11"/>
      <c r="AL29" s="11"/>
      <c r="AM29" s="11"/>
      <c r="AN29" s="290"/>
    </row>
    <row r="30" spans="1:40" s="11" customFormat="1" ht="12.95" customHeight="1">
      <c r="A30" s="484">
        <v>7</v>
      </c>
      <c r="B30" s="484"/>
      <c r="C30" s="79"/>
      <c r="D30" s="80" t="s">
        <v>90</v>
      </c>
      <c r="E30" s="80"/>
      <c r="F30" s="140">
        <f>G30/$G$36</f>
        <v>0.187</v>
      </c>
      <c r="G30" s="156">
        <f>_7</f>
        <v>6500000</v>
      </c>
      <c r="H30" s="3"/>
      <c r="I30" s="75"/>
      <c r="J30" s="75"/>
      <c r="K30" s="246">
        <v>0</v>
      </c>
      <c r="L30" s="157">
        <f>G30*K30</f>
        <v>0</v>
      </c>
      <c r="M30" s="36"/>
      <c r="N30" s="9"/>
      <c r="O30" s="284"/>
      <c r="P30" s="284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F30" s="473"/>
      <c r="AG30" s="474"/>
      <c r="AH30" s="1"/>
      <c r="AI30" s="1"/>
      <c r="AJ30" s="1"/>
      <c r="AK30" s="1"/>
      <c r="AL30" s="1"/>
      <c r="AM30" s="1"/>
      <c r="AN30" s="291"/>
    </row>
    <row r="31" spans="1:40" ht="6.95" customHeight="1">
      <c r="F31" s="144"/>
      <c r="G31" s="124"/>
      <c r="H31" s="23"/>
      <c r="K31" s="71"/>
      <c r="L31" s="124"/>
      <c r="M31" s="36"/>
      <c r="N31" s="164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F31" s="473"/>
      <c r="AG31" s="474"/>
      <c r="AH31" s="11"/>
      <c r="AI31" s="11"/>
      <c r="AJ31" s="11"/>
      <c r="AK31" s="11"/>
      <c r="AL31" s="11"/>
      <c r="AM31" s="11"/>
      <c r="AN31" s="290"/>
    </row>
    <row r="32" spans="1:40" s="11" customFormat="1" ht="12.95" customHeight="1">
      <c r="A32" s="484">
        <v>8</v>
      </c>
      <c r="B32" s="484"/>
      <c r="C32" s="79"/>
      <c r="D32" s="80" t="s">
        <v>85</v>
      </c>
      <c r="E32" s="80"/>
      <c r="F32" s="140">
        <f>G32/$G$36</f>
        <v>1E-3</v>
      </c>
      <c r="G32" s="156">
        <f>_8</f>
        <v>25000</v>
      </c>
      <c r="H32" s="3"/>
      <c r="I32" s="75"/>
      <c r="J32" s="75"/>
      <c r="K32" s="246">
        <v>0</v>
      </c>
      <c r="L32" s="157">
        <f>G32*K32</f>
        <v>0</v>
      </c>
      <c r="M32" s="36"/>
      <c r="N32" s="23"/>
      <c r="O32" s="284"/>
      <c r="P32" s="28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F32" s="473"/>
      <c r="AG32" s="474"/>
      <c r="AH32" s="1"/>
      <c r="AI32" s="1"/>
      <c r="AJ32" s="1"/>
      <c r="AK32" s="1"/>
      <c r="AL32" s="1"/>
      <c r="AM32" s="1"/>
      <c r="AN32" s="291"/>
    </row>
    <row r="33" spans="1:40" ht="6.95" customHeight="1">
      <c r="F33" s="144"/>
      <c r="G33" s="124"/>
      <c r="H33" s="23"/>
      <c r="K33" s="248"/>
      <c r="L33" s="124"/>
      <c r="M33" s="35"/>
      <c r="N33" s="23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F33" s="473"/>
      <c r="AG33" s="474"/>
      <c r="AH33" s="11"/>
      <c r="AI33" s="11"/>
      <c r="AJ33" s="11"/>
      <c r="AK33" s="11"/>
      <c r="AL33" s="11"/>
      <c r="AM33" s="11"/>
      <c r="AN33" s="290"/>
    </row>
    <row r="34" spans="1:40" s="11" customFormat="1" ht="12.95" customHeight="1">
      <c r="A34" s="484">
        <v>9</v>
      </c>
      <c r="B34" s="484"/>
      <c r="C34" s="79"/>
      <c r="D34" s="80" t="s">
        <v>10</v>
      </c>
      <c r="E34" s="80"/>
      <c r="F34" s="140">
        <f>G34/$G$36</f>
        <v>8.5999999999999993E-2</v>
      </c>
      <c r="G34" s="156">
        <f>_9</f>
        <v>3000000</v>
      </c>
      <c r="H34" s="3"/>
      <c r="I34" s="75"/>
      <c r="J34" s="75"/>
      <c r="K34" s="246">
        <v>0.1</v>
      </c>
      <c r="L34" s="157">
        <f>G34*K34</f>
        <v>300000</v>
      </c>
      <c r="M34" s="36"/>
      <c r="N34" s="23"/>
      <c r="O34" s="284"/>
      <c r="P34" s="284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F34" s="473"/>
      <c r="AG34" s="474"/>
      <c r="AH34" s="1"/>
      <c r="AI34" s="1"/>
      <c r="AJ34" s="1"/>
      <c r="AK34" s="1"/>
      <c r="AL34" s="1"/>
      <c r="AM34" s="1"/>
      <c r="AN34" s="291"/>
    </row>
    <row r="35" spans="1:40" ht="12" customHeight="1">
      <c r="B35" s="13"/>
      <c r="C35" s="5"/>
      <c r="F35" s="33"/>
      <c r="K35" s="1"/>
      <c r="L35" s="1"/>
      <c r="M35" s="1"/>
      <c r="N35" s="3"/>
      <c r="O35" s="286"/>
      <c r="P35" s="286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F35" s="473"/>
      <c r="AG35" s="474"/>
      <c r="AH35" s="115"/>
      <c r="AI35" s="115"/>
      <c r="AJ35" s="115"/>
      <c r="AK35" s="115"/>
      <c r="AL35" s="115"/>
      <c r="AM35" s="115"/>
      <c r="AN35" s="292"/>
    </row>
    <row r="36" spans="1:40" ht="12.95" customHeight="1">
      <c r="A36" s="117" t="s">
        <v>208</v>
      </c>
      <c r="B36" s="118"/>
      <c r="C36" s="118"/>
      <c r="D36" s="118"/>
      <c r="E36" s="65"/>
      <c r="F36" s="224">
        <f>SUM(F7:F34)</f>
        <v>1</v>
      </c>
      <c r="G36" s="94">
        <f>_EK</f>
        <v>34740000</v>
      </c>
      <c r="H36" s="105"/>
      <c r="I36" s="66"/>
      <c r="J36" s="66"/>
      <c r="K36" s="193"/>
      <c r="L36" s="23"/>
      <c r="M36" s="23"/>
      <c r="N36" s="1"/>
      <c r="O36" s="1"/>
      <c r="P36" s="1"/>
      <c r="AF36" s="310"/>
      <c r="AG36" s="311"/>
      <c r="AH36" s="295"/>
      <c r="AI36" s="295"/>
      <c r="AJ36" s="295"/>
      <c r="AK36" s="295"/>
      <c r="AL36" s="295"/>
      <c r="AM36" s="295"/>
      <c r="AN36" s="296"/>
    </row>
    <row r="37" spans="1:40" ht="6" customHeight="1">
      <c r="B37" s="255"/>
      <c r="F37" s="33"/>
      <c r="I37" s="8"/>
      <c r="J37" s="9"/>
      <c r="K37" s="1"/>
      <c r="L37" s="1"/>
      <c r="M37" s="1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23"/>
      <c r="AG37" s="123"/>
      <c r="AH37" s="123"/>
      <c r="AI37" s="123"/>
      <c r="AJ37" s="10"/>
      <c r="AK37" s="10"/>
      <c r="AL37" s="10"/>
      <c r="AM37" s="10"/>
      <c r="AN37" s="10"/>
    </row>
    <row r="38" spans="1:40" s="10" customFormat="1" ht="12.95" customHeight="1">
      <c r="A38" s="484"/>
      <c r="B38" s="484"/>
      <c r="C38" s="79" t="s">
        <v>105</v>
      </c>
      <c r="D38" s="80"/>
      <c r="E38" s="228"/>
      <c r="F38" s="140"/>
      <c r="G38" s="462">
        <f>_mvB</f>
        <v>0</v>
      </c>
      <c r="H38" s="3"/>
      <c r="I38" s="75"/>
      <c r="J38" s="75"/>
      <c r="K38" s="109">
        <v>1</v>
      </c>
      <c r="L38" s="156">
        <f>G38*K38</f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23"/>
      <c r="AG38" s="123"/>
      <c r="AH38" s="474"/>
      <c r="AI38" s="474"/>
      <c r="AJ38" s="1"/>
      <c r="AK38" s="1"/>
      <c r="AL38" s="1"/>
      <c r="AM38" s="1"/>
      <c r="AN38" s="1"/>
    </row>
    <row r="39" spans="1:40" ht="6" customHeight="1">
      <c r="F39" s="33"/>
      <c r="N39" s="3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23"/>
      <c r="AG39" s="123"/>
      <c r="AH39" s="474"/>
      <c r="AI39" s="474"/>
      <c r="AJ39" s="116"/>
      <c r="AK39" s="116"/>
      <c r="AL39" s="116"/>
      <c r="AM39" s="116"/>
      <c r="AN39" s="116"/>
    </row>
    <row r="40" spans="1:40" s="14" customFormat="1" ht="12.95" customHeight="1">
      <c r="A40" s="209" t="s">
        <v>31</v>
      </c>
      <c r="B40" s="210"/>
      <c r="C40" s="210"/>
      <c r="D40" s="210"/>
      <c r="E40" s="220"/>
      <c r="F40" s="220"/>
      <c r="G40" s="220"/>
      <c r="H40" s="220"/>
      <c r="I40" s="220"/>
      <c r="J40" s="220"/>
      <c r="K40" s="221"/>
      <c r="L40" s="438">
        <f>IF(K11="Abminderung",L7+L9+L11+L16+L19+L21+L24+L25+L26+L28+L30+L32+L34+L38,SUM(L7:L11)+SUM(L21:L38))</f>
        <v>25300000</v>
      </c>
      <c r="M40" s="47"/>
      <c r="N40" s="23"/>
      <c r="O40" s="287"/>
      <c r="P40" s="287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23"/>
      <c r="AG40" s="123"/>
      <c r="AH40" s="474"/>
      <c r="AI40" s="474"/>
      <c r="AJ40" s="16"/>
      <c r="AK40" s="16"/>
      <c r="AL40" s="16"/>
      <c r="AM40" s="16"/>
      <c r="AN40" s="16"/>
    </row>
    <row r="41" spans="1:40" s="16" customFormat="1" ht="12.95" customHeight="1">
      <c r="B41" s="17"/>
      <c r="C41" s="17"/>
      <c r="K41" s="170"/>
      <c r="L41" s="170"/>
      <c r="M41" s="22"/>
      <c r="N41" s="23"/>
      <c r="O41" s="284"/>
      <c r="P41" s="284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23"/>
      <c r="AG41" s="123"/>
      <c r="AH41" s="474"/>
      <c r="AI41" s="474"/>
      <c r="AJ41" s="1"/>
      <c r="AK41" s="1"/>
      <c r="AL41" s="1"/>
      <c r="AM41" s="1"/>
      <c r="AN41" s="1"/>
    </row>
    <row r="42" spans="1:40" ht="6" customHeight="1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L42" s="257"/>
    </row>
    <row r="43" spans="1:40" ht="12.75" customHeight="1">
      <c r="A43" s="171" t="s">
        <v>265</v>
      </c>
      <c r="B43" s="171"/>
      <c r="C43" s="171"/>
      <c r="D43" s="172"/>
      <c r="E43" s="172"/>
      <c r="F43" s="172"/>
      <c r="G43" s="172"/>
      <c r="H43" s="172"/>
      <c r="I43" s="172"/>
      <c r="J43" s="172"/>
      <c r="K43" s="171"/>
      <c r="L43" s="258"/>
      <c r="M43" s="174"/>
    </row>
    <row r="44" spans="1:40" ht="6.75" customHeight="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L44" s="257"/>
    </row>
    <row r="45" spans="1:40" ht="12.75" customHeight="1">
      <c r="A45" s="174" t="s">
        <v>64</v>
      </c>
      <c r="B45" s="173"/>
      <c r="C45" s="173"/>
      <c r="D45" s="173"/>
      <c r="E45" s="173"/>
      <c r="F45" s="173"/>
      <c r="G45" s="173"/>
      <c r="H45" s="173"/>
      <c r="I45" s="173"/>
      <c r="J45" s="173"/>
      <c r="L45" s="257"/>
    </row>
    <row r="46" spans="1:40" ht="12.75" customHeight="1">
      <c r="A46" s="18"/>
      <c r="B46" s="18"/>
      <c r="C46" s="18"/>
      <c r="G46" s="175" t="s">
        <v>5</v>
      </c>
      <c r="H46" s="179"/>
      <c r="I46" s="176" t="s">
        <v>4</v>
      </c>
      <c r="J46" s="176"/>
      <c r="K46" s="485" t="s">
        <v>238</v>
      </c>
      <c r="L46" s="485"/>
      <c r="M46" s="42"/>
      <c r="N46" s="478" t="s">
        <v>229</v>
      </c>
      <c r="O46" s="478" t="s">
        <v>131</v>
      </c>
      <c r="P46" s="478" t="s">
        <v>132</v>
      </c>
      <c r="Q46" s="478" t="s">
        <v>166</v>
      </c>
      <c r="R46" s="318"/>
      <c r="S46" s="478" t="s">
        <v>172</v>
      </c>
      <c r="T46" s="478" t="s">
        <v>173</v>
      </c>
      <c r="U46" s="478" t="s">
        <v>174</v>
      </c>
      <c r="V46" s="478" t="s">
        <v>133</v>
      </c>
      <c r="W46" s="478" t="s">
        <v>152</v>
      </c>
      <c r="X46" s="478" t="s">
        <v>153</v>
      </c>
      <c r="Y46" s="478" t="s">
        <v>167</v>
      </c>
      <c r="Z46" s="478" t="s">
        <v>154</v>
      </c>
      <c r="AA46" s="478" t="s">
        <v>155</v>
      </c>
      <c r="AB46" s="478" t="s">
        <v>156</v>
      </c>
      <c r="AC46" s="478" t="s">
        <v>168</v>
      </c>
      <c r="AD46" s="478" t="s">
        <v>157</v>
      </c>
      <c r="AE46" s="478" t="s">
        <v>158</v>
      </c>
      <c r="AF46" s="478" t="s">
        <v>160</v>
      </c>
      <c r="AG46" s="478" t="s">
        <v>170</v>
      </c>
      <c r="AH46" s="478" t="s">
        <v>159</v>
      </c>
      <c r="AI46" s="478" t="s">
        <v>161</v>
      </c>
      <c r="AJ46" s="478" t="s">
        <v>162</v>
      </c>
      <c r="AK46" s="478" t="s">
        <v>163</v>
      </c>
      <c r="AL46" s="478" t="s">
        <v>164</v>
      </c>
      <c r="AM46" s="478" t="s">
        <v>169</v>
      </c>
      <c r="AN46" s="478" t="s">
        <v>165</v>
      </c>
    </row>
    <row r="47" spans="1:40" ht="12.75" customHeight="1">
      <c r="B47" s="19" t="s">
        <v>45</v>
      </c>
      <c r="C47" s="43"/>
      <c r="D47" s="37"/>
      <c r="E47" s="37"/>
      <c r="F47" s="37"/>
      <c r="G47" s="370">
        <v>25</v>
      </c>
      <c r="H47" s="195"/>
      <c r="I47" s="177" t="s">
        <v>55</v>
      </c>
      <c r="J47" s="176"/>
      <c r="K47" s="418"/>
      <c r="L47" s="419"/>
      <c r="M47" s="42"/>
      <c r="N47" s="479"/>
      <c r="O47" s="479"/>
      <c r="P47" s="479"/>
      <c r="Q47" s="479"/>
      <c r="R47" s="31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79"/>
      <c r="AG47" s="479"/>
      <c r="AH47" s="479"/>
      <c r="AI47" s="479"/>
      <c r="AJ47" s="479"/>
      <c r="AK47" s="479"/>
      <c r="AL47" s="479"/>
      <c r="AM47" s="479"/>
      <c r="AN47" s="479"/>
    </row>
    <row r="48" spans="1:40" ht="12.75" customHeight="1">
      <c r="B48" s="20" t="s">
        <v>46</v>
      </c>
      <c r="C48" s="44"/>
      <c r="D48" s="38"/>
      <c r="E48" s="38"/>
      <c r="F48" s="38"/>
      <c r="G48" s="370">
        <v>1</v>
      </c>
      <c r="H48" s="196"/>
      <c r="I48" s="178" t="s">
        <v>6</v>
      </c>
      <c r="J48" s="176"/>
      <c r="K48" s="420"/>
      <c r="L48" s="421"/>
      <c r="M48" s="42"/>
      <c r="N48" s="479"/>
      <c r="O48" s="479"/>
      <c r="P48" s="479"/>
      <c r="Q48" s="479"/>
      <c r="R48" s="31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9"/>
      <c r="AK48" s="479"/>
      <c r="AL48" s="479"/>
      <c r="AM48" s="479"/>
      <c r="AN48" s="479"/>
    </row>
    <row r="49" spans="1:40" ht="12.75" customHeight="1">
      <c r="B49" s="20" t="s">
        <v>47</v>
      </c>
      <c r="C49" s="44"/>
      <c r="D49" s="38"/>
      <c r="E49" s="38"/>
      <c r="F49" s="38"/>
      <c r="G49" s="370">
        <v>1</v>
      </c>
      <c r="H49" s="196"/>
      <c r="I49" s="178" t="s">
        <v>6</v>
      </c>
      <c r="J49" s="176"/>
      <c r="K49" s="420"/>
      <c r="L49" s="421"/>
      <c r="M49" s="42"/>
      <c r="N49" s="479"/>
      <c r="O49" s="479"/>
      <c r="P49" s="479"/>
      <c r="Q49" s="479"/>
      <c r="R49" s="31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  <c r="AM49" s="479"/>
      <c r="AN49" s="479"/>
    </row>
    <row r="50" spans="1:40" ht="12.75" customHeight="1">
      <c r="B50" s="20" t="s">
        <v>48</v>
      </c>
      <c r="C50" s="38"/>
      <c r="D50" s="38"/>
      <c r="E50" s="38"/>
      <c r="F50" s="38"/>
      <c r="G50" s="370">
        <v>1</v>
      </c>
      <c r="H50" s="196"/>
      <c r="I50" s="178" t="s">
        <v>6</v>
      </c>
      <c r="J50" s="176"/>
      <c r="K50" s="420"/>
      <c r="L50" s="421"/>
      <c r="M50" s="42"/>
      <c r="N50" s="479"/>
      <c r="O50" s="479"/>
      <c r="P50" s="479"/>
      <c r="Q50" s="479"/>
      <c r="R50" s="31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79"/>
      <c r="AI50" s="479"/>
      <c r="AJ50" s="479"/>
      <c r="AK50" s="479"/>
      <c r="AL50" s="479"/>
      <c r="AM50" s="479"/>
      <c r="AN50" s="479"/>
    </row>
    <row r="51" spans="1:40" ht="4.5" customHeight="1">
      <c r="A51" s="18"/>
      <c r="B51" s="18"/>
      <c r="C51" s="18"/>
      <c r="G51" s="179"/>
      <c r="H51" s="179"/>
      <c r="I51" s="179"/>
      <c r="J51" s="179"/>
      <c r="L51" s="251"/>
      <c r="M51" s="42"/>
      <c r="N51" s="479"/>
      <c r="O51" s="479"/>
      <c r="P51" s="479"/>
      <c r="Q51" s="479"/>
      <c r="R51" s="31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  <c r="AN51" s="479"/>
    </row>
    <row r="52" spans="1:40" ht="12.75" customHeight="1">
      <c r="B52" s="18"/>
      <c r="C52" s="372" t="s">
        <v>189</v>
      </c>
      <c r="D52" s="180"/>
      <c r="E52" s="181"/>
      <c r="F52" s="181"/>
      <c r="G52" s="400">
        <v>0</v>
      </c>
      <c r="H52" s="181"/>
      <c r="I52" s="178" t="s">
        <v>235</v>
      </c>
      <c r="J52" s="181"/>
      <c r="K52" s="423"/>
      <c r="L52" s="424"/>
      <c r="M52" s="1"/>
      <c r="N52" s="479"/>
      <c r="O52" s="479"/>
      <c r="P52" s="479"/>
      <c r="Q52" s="479"/>
      <c r="R52" s="31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79"/>
      <c r="AM52" s="479"/>
      <c r="AN52" s="479"/>
    </row>
    <row r="53" spans="1:40" ht="12.75" customHeight="1">
      <c r="B53" s="18"/>
      <c r="C53" s="372" t="s">
        <v>190</v>
      </c>
      <c r="D53" s="180"/>
      <c r="E53" s="181"/>
      <c r="F53" s="181"/>
      <c r="G53" s="369">
        <v>1</v>
      </c>
      <c r="H53" s="181"/>
      <c r="I53" s="178" t="s">
        <v>236</v>
      </c>
      <c r="J53" s="181"/>
      <c r="K53" s="420"/>
      <c r="L53" s="425"/>
      <c r="M53" s="1"/>
      <c r="N53" s="479"/>
      <c r="O53" s="479"/>
      <c r="P53" s="479"/>
      <c r="Q53" s="479"/>
      <c r="R53" s="31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479"/>
      <c r="AK53" s="479"/>
      <c r="AL53" s="479"/>
      <c r="AM53" s="479"/>
      <c r="AN53" s="479"/>
    </row>
    <row r="54" spans="1:40" ht="12.75" customHeight="1">
      <c r="B54" s="18"/>
      <c r="C54" s="372" t="s">
        <v>191</v>
      </c>
      <c r="D54" s="180"/>
      <c r="E54" s="181"/>
      <c r="F54" s="181"/>
      <c r="G54" s="369">
        <v>2</v>
      </c>
      <c r="H54" s="181"/>
      <c r="I54" s="178" t="s">
        <v>243</v>
      </c>
      <c r="J54" s="181"/>
      <c r="K54" s="420"/>
      <c r="L54" s="425"/>
      <c r="M54" s="1"/>
      <c r="N54" s="479"/>
      <c r="O54" s="479"/>
      <c r="P54" s="479"/>
      <c r="Q54" s="479"/>
      <c r="R54" s="31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79"/>
      <c r="AM54" s="479"/>
      <c r="AN54" s="479"/>
    </row>
    <row r="55" spans="1:40" ht="12.75" customHeight="1">
      <c r="B55" s="18"/>
      <c r="C55" s="372" t="s">
        <v>192</v>
      </c>
      <c r="D55" s="180"/>
      <c r="E55" s="181"/>
      <c r="F55" s="181"/>
      <c r="G55" s="369">
        <v>0</v>
      </c>
      <c r="H55" s="181"/>
      <c r="I55" s="178" t="s">
        <v>235</v>
      </c>
      <c r="J55" s="181"/>
      <c r="K55" s="418"/>
      <c r="L55" s="426"/>
      <c r="M55" s="1"/>
      <c r="N55" s="479"/>
      <c r="O55" s="479"/>
      <c r="P55" s="479"/>
      <c r="Q55" s="479"/>
      <c r="R55" s="31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  <c r="AN55" s="479"/>
    </row>
    <row r="56" spans="1:40" ht="4.5" customHeight="1">
      <c r="A56" s="18"/>
      <c r="B56" s="18"/>
      <c r="C56" s="1"/>
      <c r="D56" s="181"/>
      <c r="E56" s="181"/>
      <c r="F56" s="181"/>
      <c r="G56" s="181"/>
      <c r="H56" s="181"/>
      <c r="I56" s="181"/>
      <c r="J56" s="181"/>
      <c r="L56" s="251"/>
      <c r="M56" s="1"/>
      <c r="N56" s="479"/>
      <c r="O56" s="479"/>
      <c r="P56" s="479"/>
      <c r="Q56" s="479"/>
      <c r="R56" s="31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  <c r="AN56" s="479"/>
    </row>
    <row r="57" spans="1:40" ht="12.75" customHeight="1">
      <c r="B57" s="18" t="s">
        <v>44</v>
      </c>
      <c r="C57" s="1"/>
      <c r="D57" s="180"/>
      <c r="E57" s="181"/>
      <c r="F57" s="181"/>
      <c r="G57" s="182">
        <f>SUM(G47:G55)</f>
        <v>31</v>
      </c>
      <c r="H57" s="181"/>
      <c r="I57" s="181"/>
      <c r="J57" s="181"/>
      <c r="L57" s="251"/>
      <c r="M57" s="1"/>
      <c r="N57" s="479"/>
      <c r="O57" s="479"/>
      <c r="P57" s="479"/>
      <c r="Q57" s="479"/>
      <c r="R57" s="31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79"/>
      <c r="AK57" s="479"/>
      <c r="AL57" s="479"/>
      <c r="AM57" s="479"/>
      <c r="AN57" s="479"/>
    </row>
    <row r="58" spans="1:40" ht="12.95" customHeight="1">
      <c r="B58" s="18"/>
      <c r="C58" s="1"/>
      <c r="D58" s="181"/>
      <c r="E58" s="181"/>
      <c r="F58" s="181"/>
      <c r="G58" s="181"/>
      <c r="H58" s="181"/>
      <c r="I58" s="181"/>
      <c r="J58" s="181"/>
      <c r="L58" s="251"/>
      <c r="M58" s="1"/>
      <c r="N58" s="479"/>
      <c r="O58" s="479"/>
      <c r="P58" s="479"/>
      <c r="Q58" s="479"/>
      <c r="R58" s="31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  <c r="AM58" s="479"/>
      <c r="AN58" s="479"/>
    </row>
    <row r="59" spans="1:40" ht="12.95" customHeight="1">
      <c r="A59" s="174" t="s">
        <v>14</v>
      </c>
      <c r="B59" s="174"/>
      <c r="C59" s="173"/>
      <c r="D59" s="173"/>
      <c r="E59" s="173"/>
      <c r="F59" s="173"/>
      <c r="G59" s="173"/>
      <c r="H59" s="173"/>
      <c r="I59" s="173"/>
      <c r="J59" s="173"/>
      <c r="K59" s="259"/>
      <c r="L59" s="1"/>
      <c r="N59" s="479"/>
      <c r="O59" s="479"/>
      <c r="P59" s="479"/>
      <c r="Q59" s="479"/>
      <c r="R59" s="31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  <c r="AM59" s="479"/>
      <c r="AN59" s="479"/>
    </row>
    <row r="60" spans="1:40" ht="4.5" customHeight="1">
      <c r="A60" s="174"/>
      <c r="B60" s="174"/>
      <c r="C60" s="174"/>
      <c r="D60" s="174"/>
      <c r="L60" s="1"/>
      <c r="N60" s="479"/>
      <c r="O60" s="479"/>
      <c r="P60" s="479"/>
      <c r="Q60" s="479"/>
      <c r="R60" s="31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  <c r="AM60" s="479"/>
      <c r="AN60" s="479"/>
    </row>
    <row r="61" spans="1:40" ht="12.75" customHeight="1">
      <c r="A61" s="183" t="s">
        <v>11</v>
      </c>
      <c r="B61" s="183"/>
      <c r="C61" s="1"/>
      <c r="G61" s="213">
        <f>L40</f>
        <v>25300000</v>
      </c>
      <c r="H61" s="197"/>
      <c r="L61" s="1"/>
      <c r="N61" s="479"/>
      <c r="O61" s="479"/>
      <c r="P61" s="479"/>
      <c r="Q61" s="479"/>
      <c r="R61" s="31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  <c r="AM61" s="479"/>
      <c r="AN61" s="479"/>
    </row>
    <row r="62" spans="1:40" ht="8.1" customHeight="1">
      <c r="A62" s="18"/>
      <c r="B62" s="18"/>
      <c r="C62" s="18"/>
      <c r="D62" s="18"/>
      <c r="E62" s="18"/>
      <c r="F62" s="18"/>
      <c r="G62" s="180"/>
      <c r="H62" s="181"/>
      <c r="L62"/>
      <c r="N62" s="479"/>
      <c r="O62" s="479"/>
      <c r="P62" s="479"/>
      <c r="Q62" s="479"/>
      <c r="R62" s="31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  <c r="AN62" s="479"/>
    </row>
    <row r="63" spans="1:40" ht="12.75" customHeight="1">
      <c r="A63" s="18" t="s">
        <v>66</v>
      </c>
      <c r="B63" s="18"/>
      <c r="C63" s="18"/>
      <c r="G63" s="104">
        <f>0.0198*G57+0.9406</f>
        <v>1.55</v>
      </c>
      <c r="H63" s="106"/>
      <c r="I63" s="122"/>
      <c r="L63"/>
      <c r="N63" s="479"/>
      <c r="O63" s="479"/>
      <c r="P63" s="479"/>
      <c r="Q63" s="479"/>
      <c r="R63" s="31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79"/>
      <c r="AL63" s="479"/>
      <c r="AM63" s="479"/>
      <c r="AN63" s="479"/>
    </row>
    <row r="64" spans="1:40" ht="4.5" customHeight="1">
      <c r="A64" s="18"/>
      <c r="B64" s="18"/>
      <c r="C64" s="18"/>
      <c r="G64" s="29"/>
      <c r="H64" s="29"/>
      <c r="I64" s="122"/>
      <c r="L64"/>
      <c r="N64" s="479"/>
      <c r="O64" s="479"/>
      <c r="P64" s="479"/>
      <c r="Q64" s="479"/>
      <c r="R64" s="319"/>
      <c r="S64" s="479"/>
      <c r="T64" s="479"/>
      <c r="U64" s="479"/>
      <c r="V64" s="479"/>
      <c r="W64" s="479"/>
      <c r="X64" s="479"/>
      <c r="Y64" s="479"/>
      <c r="Z64" s="479"/>
      <c r="AA64" s="479"/>
      <c r="AB64" s="479"/>
      <c r="AC64" s="479"/>
      <c r="AD64" s="479"/>
      <c r="AE64" s="479"/>
      <c r="AF64" s="479"/>
      <c r="AG64" s="479"/>
      <c r="AH64" s="479"/>
      <c r="AI64" s="479"/>
      <c r="AJ64" s="479"/>
      <c r="AK64" s="479"/>
      <c r="AL64" s="479"/>
      <c r="AM64" s="479"/>
      <c r="AN64" s="479"/>
    </row>
    <row r="65" spans="1:40" ht="15.95" customHeight="1">
      <c r="A65" s="18" t="s">
        <v>72</v>
      </c>
      <c r="B65" s="18"/>
      <c r="C65" s="18"/>
      <c r="G65" s="249">
        <f>ROUND(IF(G61&lt;2000000,40*G61^(-0.1208)*G63/100,(12.2611*G61^(-0.0394)*G63)/100),6)</f>
        <v>9.7090999999999997E-2</v>
      </c>
      <c r="H65" s="198"/>
      <c r="L65"/>
      <c r="N65" s="479"/>
      <c r="O65" s="479"/>
      <c r="P65" s="479"/>
      <c r="Q65" s="479"/>
      <c r="R65" s="319"/>
      <c r="S65" s="479"/>
      <c r="T65" s="479"/>
      <c r="U65" s="479"/>
      <c r="V65" s="479"/>
      <c r="W65" s="479"/>
      <c r="X65" s="479"/>
      <c r="Y65" s="479"/>
      <c r="Z65" s="479"/>
      <c r="AA65" s="479"/>
      <c r="AB65" s="479"/>
      <c r="AC65" s="479"/>
      <c r="AD65" s="479"/>
      <c r="AE65" s="479"/>
      <c r="AF65" s="479"/>
      <c r="AG65" s="479"/>
      <c r="AH65" s="479"/>
      <c r="AI65" s="479"/>
      <c r="AJ65" s="479"/>
      <c r="AK65" s="479"/>
      <c r="AL65" s="479"/>
      <c r="AM65" s="479"/>
      <c r="AN65" s="479"/>
    </row>
    <row r="66" spans="1:40" ht="15.95" customHeight="1">
      <c r="A66" s="18" t="s">
        <v>68</v>
      </c>
      <c r="B66" s="18"/>
      <c r="C66" s="18"/>
      <c r="G66" s="245">
        <f>40*G61^(-0.1208)*G63/100</f>
        <v>7.9085000000000003E-2</v>
      </c>
      <c r="H66" s="198"/>
      <c r="I66" s="241" t="str">
        <f>IF(G61&lt;2000000,"(PL + ÖBA)","")</f>
        <v/>
      </c>
      <c r="L66"/>
      <c r="N66" s="479"/>
      <c r="O66" s="479"/>
      <c r="P66" s="479"/>
      <c r="Q66" s="479"/>
      <c r="R66" s="31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79"/>
      <c r="AL66" s="479"/>
      <c r="AM66" s="479"/>
      <c r="AN66" s="479"/>
    </row>
    <row r="67" spans="1:40" ht="15.95" customHeight="1">
      <c r="A67" s="18" t="s">
        <v>69</v>
      </c>
      <c r="B67" s="18"/>
      <c r="C67" s="18"/>
      <c r="D67" s="18"/>
      <c r="G67" s="245">
        <f>(12.2611*G61^(-0.0394)*G63)/100</f>
        <v>9.7090999999999997E-2</v>
      </c>
      <c r="H67" s="198"/>
      <c r="I67" s="242" t="str">
        <f>IF(G61&gt;1999999.99,"(PL + ÖBA)","")</f>
        <v>(PL + ÖBA)</v>
      </c>
      <c r="L67"/>
      <c r="N67" s="479"/>
      <c r="O67" s="479"/>
      <c r="P67" s="479"/>
      <c r="Q67" s="479"/>
      <c r="R67" s="31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79"/>
      <c r="AL67" s="479"/>
      <c r="AM67" s="479"/>
      <c r="AN67" s="479"/>
    </row>
    <row r="68" spans="1:40" ht="3" customHeight="1">
      <c r="A68" s="18"/>
      <c r="B68" s="18"/>
      <c r="C68" s="18"/>
      <c r="G68" s="184"/>
      <c r="H68" s="184"/>
      <c r="I68" s="184"/>
      <c r="J68" s="184"/>
      <c r="L68"/>
      <c r="N68" s="479"/>
      <c r="O68" s="479"/>
      <c r="P68" s="479"/>
      <c r="Q68" s="479"/>
      <c r="R68" s="319"/>
      <c r="S68" s="479"/>
      <c r="T68" s="479"/>
      <c r="U68" s="479"/>
      <c r="V68" s="479"/>
      <c r="W68" s="479"/>
      <c r="X68" s="479"/>
      <c r="Y68" s="479"/>
      <c r="Z68" s="479"/>
      <c r="AA68" s="479"/>
      <c r="AB68" s="479"/>
      <c r="AC68" s="479"/>
      <c r="AD68" s="479"/>
      <c r="AE68" s="479"/>
      <c r="AF68" s="479"/>
      <c r="AG68" s="479"/>
      <c r="AH68" s="479"/>
      <c r="AI68" s="479"/>
      <c r="AJ68" s="479"/>
      <c r="AK68" s="479"/>
      <c r="AL68" s="479"/>
      <c r="AM68" s="479"/>
      <c r="AN68" s="479"/>
    </row>
    <row r="69" spans="1:40" ht="15.95" customHeight="1">
      <c r="A69" s="18" t="s">
        <v>106</v>
      </c>
      <c r="B69" s="18"/>
      <c r="C69" s="18"/>
      <c r="D69" s="18"/>
      <c r="G69" s="463">
        <v>0</v>
      </c>
      <c r="H69" s="198"/>
      <c r="I69" s="242"/>
      <c r="L69"/>
      <c r="N69" s="479"/>
      <c r="O69" s="479"/>
      <c r="P69" s="479"/>
      <c r="Q69" s="479"/>
      <c r="R69" s="319"/>
      <c r="S69" s="479"/>
      <c r="T69" s="479"/>
      <c r="U69" s="479"/>
      <c r="V69" s="479"/>
      <c r="W69" s="479"/>
      <c r="X69" s="479"/>
      <c r="Y69" s="479"/>
      <c r="Z69" s="479"/>
      <c r="AA69" s="479"/>
      <c r="AB69" s="479"/>
      <c r="AC69" s="479"/>
      <c r="AD69" s="479"/>
      <c r="AE69" s="479"/>
      <c r="AF69" s="479"/>
      <c r="AG69" s="479"/>
      <c r="AH69" s="479"/>
      <c r="AI69" s="479"/>
      <c r="AJ69" s="479"/>
      <c r="AK69" s="479"/>
      <c r="AL69" s="479"/>
      <c r="AM69" s="479"/>
      <c r="AN69" s="479"/>
    </row>
    <row r="70" spans="1:40" ht="8.1" customHeight="1">
      <c r="A70" s="18"/>
      <c r="B70" s="18"/>
      <c r="C70" s="18"/>
      <c r="G70" s="184"/>
      <c r="H70" s="184"/>
      <c r="I70" s="184"/>
      <c r="J70" s="184"/>
      <c r="L70"/>
      <c r="N70" s="479"/>
      <c r="O70" s="479"/>
      <c r="P70" s="479"/>
      <c r="Q70" s="479"/>
      <c r="R70" s="319"/>
      <c r="S70" s="479"/>
      <c r="T70" s="479"/>
      <c r="U70" s="479"/>
      <c r="V70" s="479"/>
      <c r="W70" s="479"/>
      <c r="X70" s="479"/>
      <c r="Y70" s="479"/>
      <c r="Z70" s="479"/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79"/>
      <c r="AL70" s="479"/>
      <c r="AM70" s="479"/>
      <c r="AN70" s="479"/>
    </row>
    <row r="71" spans="1:40" ht="15" customHeight="1">
      <c r="A71" s="21" t="s">
        <v>126</v>
      </c>
      <c r="B71" s="19"/>
      <c r="C71" s="19"/>
      <c r="D71" s="185"/>
      <c r="E71" s="185"/>
      <c r="F71" s="185"/>
      <c r="G71" s="186"/>
      <c r="H71" s="186"/>
      <c r="I71" s="262">
        <f>G61*G65*(1+G69)</f>
        <v>2456402</v>
      </c>
      <c r="J71" s="186"/>
      <c r="K71" s="48"/>
      <c r="L71" s="1"/>
      <c r="N71" s="480"/>
      <c r="O71" s="480"/>
      <c r="P71" s="480"/>
      <c r="Q71" s="480"/>
      <c r="R71" s="319"/>
      <c r="S71" s="480"/>
      <c r="T71" s="480"/>
      <c r="U71" s="480"/>
      <c r="V71" s="480"/>
      <c r="W71" s="480"/>
      <c r="X71" s="480"/>
      <c r="Y71" s="480"/>
      <c r="Z71" s="480"/>
      <c r="AA71" s="480"/>
      <c r="AB71" s="480"/>
      <c r="AC71" s="480"/>
      <c r="AD71" s="480"/>
      <c r="AE71" s="480"/>
      <c r="AF71" s="480"/>
      <c r="AG71" s="480"/>
      <c r="AH71" s="480"/>
      <c r="AI71" s="480"/>
      <c r="AJ71" s="480"/>
      <c r="AK71" s="480"/>
      <c r="AL71" s="480"/>
      <c r="AM71" s="480"/>
      <c r="AN71" s="480"/>
    </row>
    <row r="72" spans="1:40" ht="8.25" customHeight="1">
      <c r="A72" s="24"/>
      <c r="B72" s="18"/>
      <c r="C72" s="18"/>
      <c r="D72" s="173"/>
      <c r="E72" s="173"/>
      <c r="F72" s="173"/>
      <c r="G72" s="187"/>
      <c r="H72" s="187"/>
      <c r="I72" s="187"/>
      <c r="J72" s="187"/>
      <c r="L72" s="1"/>
      <c r="N72" s="491" t="s">
        <v>147</v>
      </c>
      <c r="O72" s="489"/>
      <c r="P72" s="489"/>
      <c r="Q72" s="489" t="s">
        <v>209</v>
      </c>
      <c r="R72" s="337"/>
      <c r="S72" s="489"/>
      <c r="T72" s="489"/>
      <c r="U72" s="489" t="s">
        <v>209</v>
      </c>
      <c r="V72" s="489"/>
      <c r="W72" s="489"/>
      <c r="X72" s="489"/>
      <c r="Y72" s="489"/>
      <c r="Z72" s="489"/>
      <c r="AA72" s="489"/>
      <c r="AB72" s="489"/>
      <c r="AC72" s="489"/>
      <c r="AD72" s="489"/>
      <c r="AE72" s="489" t="s">
        <v>209</v>
      </c>
      <c r="AF72" s="489"/>
      <c r="AG72" s="489"/>
      <c r="AH72" s="489"/>
      <c r="AI72" s="489"/>
      <c r="AJ72" s="489"/>
      <c r="AK72" s="489"/>
      <c r="AL72" s="489"/>
      <c r="AM72" s="489"/>
      <c r="AN72" s="489"/>
    </row>
    <row r="73" spans="1:40" ht="12.95" customHeight="1">
      <c r="A73" s="24"/>
      <c r="B73" s="18"/>
      <c r="C73" s="18"/>
      <c r="D73" s="173"/>
      <c r="E73" s="277" t="s">
        <v>129</v>
      </c>
      <c r="F73" s="301" t="s">
        <v>134</v>
      </c>
      <c r="G73" s="175" t="s">
        <v>5</v>
      </c>
      <c r="H73" s="187"/>
      <c r="I73" s="187"/>
      <c r="J73" s="187"/>
      <c r="L73" s="30"/>
      <c r="N73" s="493"/>
      <c r="O73" s="490"/>
      <c r="P73" s="490"/>
      <c r="Q73" s="490"/>
      <c r="R73" s="32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490"/>
      <c r="AG73" s="490"/>
      <c r="AH73" s="490"/>
      <c r="AI73" s="490"/>
      <c r="AJ73" s="490"/>
      <c r="AK73" s="490"/>
      <c r="AL73" s="490"/>
      <c r="AM73" s="490"/>
      <c r="AN73" s="490"/>
    </row>
    <row r="74" spans="1:40" ht="12.75" customHeight="1">
      <c r="A74" s="173" t="s">
        <v>78</v>
      </c>
      <c r="B74" s="173"/>
      <c r="C74" s="188"/>
      <c r="E74" s="281">
        <v>0.02</v>
      </c>
      <c r="F74" s="302">
        <f t="shared" ref="F74:F83" si="0">E74+N74</f>
        <v>2.1999999999999999E-2</v>
      </c>
      <c r="G74" s="331">
        <f>F74</f>
        <v>2.1999999999999999E-2</v>
      </c>
      <c r="H74" s="335"/>
      <c r="I74" s="336">
        <f>$I$71*G74</f>
        <v>54041</v>
      </c>
      <c r="J74" s="336"/>
      <c r="K74" s="326"/>
      <c r="L74" s="327"/>
      <c r="M74" s="328"/>
      <c r="N74" s="329">
        <f t="shared" ref="N74:N83" si="1">SUMIF($O$72:$AN$72,"*",O74:AN74)</f>
        <v>2E-3</v>
      </c>
      <c r="O74" s="399"/>
      <c r="P74" s="399"/>
      <c r="Q74" s="399"/>
      <c r="R74" s="330"/>
      <c r="S74" s="399"/>
      <c r="T74" s="399"/>
      <c r="U74" s="399">
        <v>2E-3</v>
      </c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</row>
    <row r="75" spans="1:40" ht="12.75" customHeight="1">
      <c r="A75" s="173" t="s">
        <v>34</v>
      </c>
      <c r="B75" s="173"/>
      <c r="C75" s="188"/>
      <c r="E75" s="281">
        <v>0.08</v>
      </c>
      <c r="F75" s="302">
        <f t="shared" si="0"/>
        <v>9.1499999999999998E-2</v>
      </c>
      <c r="G75" s="331">
        <f t="shared" ref="G75:G83" si="2">F75</f>
        <v>9.1499999999999998E-2</v>
      </c>
      <c r="H75" s="335"/>
      <c r="I75" s="336">
        <f t="shared" ref="I75:I83" si="3">$I$71*G75</f>
        <v>224761</v>
      </c>
      <c r="J75" s="336"/>
      <c r="K75" s="326"/>
      <c r="L75" s="327"/>
      <c r="M75" s="328"/>
      <c r="N75" s="329">
        <f t="shared" si="1"/>
        <v>1.15E-2</v>
      </c>
      <c r="O75" s="399"/>
      <c r="P75" s="399"/>
      <c r="Q75" s="399">
        <v>8.5000000000000006E-3</v>
      </c>
      <c r="R75" s="330"/>
      <c r="S75" s="399"/>
      <c r="T75" s="399"/>
      <c r="U75" s="399">
        <v>3.0000000000000001E-3</v>
      </c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</row>
    <row r="76" spans="1:40" ht="12.75" customHeight="1">
      <c r="A76" s="173" t="s">
        <v>35</v>
      </c>
      <c r="B76" s="173"/>
      <c r="C76" s="188"/>
      <c r="E76" s="281">
        <v>0.12</v>
      </c>
      <c r="F76" s="302">
        <f t="shared" si="0"/>
        <v>0.14449999999999999</v>
      </c>
      <c r="G76" s="331">
        <f t="shared" si="2"/>
        <v>0.14449999999999999</v>
      </c>
      <c r="H76" s="335"/>
      <c r="I76" s="336">
        <f t="shared" si="3"/>
        <v>354950</v>
      </c>
      <c r="J76" s="336"/>
      <c r="K76" s="326"/>
      <c r="L76" s="327"/>
      <c r="M76" s="328"/>
      <c r="N76" s="329">
        <f t="shared" si="1"/>
        <v>2.4500000000000001E-2</v>
      </c>
      <c r="O76" s="399"/>
      <c r="P76" s="399"/>
      <c r="Q76" s="399">
        <v>2.0500000000000001E-2</v>
      </c>
      <c r="R76" s="330"/>
      <c r="S76" s="399"/>
      <c r="T76" s="399"/>
      <c r="U76" s="399">
        <v>4.0000000000000001E-3</v>
      </c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</row>
    <row r="77" spans="1:40" ht="12.75" customHeight="1">
      <c r="A77" s="173" t="s">
        <v>36</v>
      </c>
      <c r="B77" s="173"/>
      <c r="C77" s="188"/>
      <c r="E77" s="281">
        <v>0.05</v>
      </c>
      <c r="F77" s="302">
        <f t="shared" si="0"/>
        <v>0.06</v>
      </c>
      <c r="G77" s="331">
        <f t="shared" si="2"/>
        <v>0.06</v>
      </c>
      <c r="H77" s="335"/>
      <c r="I77" s="336">
        <f t="shared" si="3"/>
        <v>147384</v>
      </c>
      <c r="J77" s="336"/>
      <c r="K77" s="326"/>
      <c r="L77" s="327"/>
      <c r="M77" s="328"/>
      <c r="N77" s="329">
        <f t="shared" si="1"/>
        <v>0.01</v>
      </c>
      <c r="O77" s="399"/>
      <c r="P77" s="399"/>
      <c r="Q77" s="399">
        <v>7.0000000000000001E-3</v>
      </c>
      <c r="R77" s="330"/>
      <c r="S77" s="399"/>
      <c r="T77" s="399"/>
      <c r="U77" s="399">
        <v>3.0000000000000001E-3</v>
      </c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</row>
    <row r="78" spans="1:40" ht="12.75" customHeight="1">
      <c r="A78" s="173" t="s">
        <v>37</v>
      </c>
      <c r="B78" s="173"/>
      <c r="C78" s="188"/>
      <c r="E78" s="281">
        <v>0.22</v>
      </c>
      <c r="F78" s="302">
        <f t="shared" si="0"/>
        <v>0.255</v>
      </c>
      <c r="G78" s="331">
        <f t="shared" si="2"/>
        <v>0.255</v>
      </c>
      <c r="H78" s="335"/>
      <c r="I78" s="336">
        <f t="shared" si="3"/>
        <v>626383</v>
      </c>
      <c r="J78" s="336"/>
      <c r="K78" s="326"/>
      <c r="L78" s="327"/>
      <c r="M78" s="328"/>
      <c r="N78" s="329">
        <f t="shared" si="1"/>
        <v>3.5000000000000003E-2</v>
      </c>
      <c r="O78" s="399"/>
      <c r="P78" s="399"/>
      <c r="Q78" s="399"/>
      <c r="R78" s="330"/>
      <c r="S78" s="399"/>
      <c r="T78" s="399"/>
      <c r="U78" s="399">
        <v>5.0000000000000001E-3</v>
      </c>
      <c r="V78" s="399"/>
      <c r="W78" s="399"/>
      <c r="X78" s="399"/>
      <c r="Y78" s="399"/>
      <c r="Z78" s="399"/>
      <c r="AA78" s="399"/>
      <c r="AB78" s="399"/>
      <c r="AC78" s="399"/>
      <c r="AD78" s="399"/>
      <c r="AE78" s="399">
        <v>0.03</v>
      </c>
      <c r="AF78" s="399"/>
      <c r="AG78" s="399"/>
      <c r="AH78" s="399"/>
      <c r="AI78" s="399"/>
      <c r="AJ78" s="399"/>
      <c r="AK78" s="399"/>
      <c r="AL78" s="399"/>
      <c r="AM78" s="399"/>
      <c r="AN78" s="399"/>
    </row>
    <row r="79" spans="1:40" ht="12.75" customHeight="1">
      <c r="A79" s="173" t="s">
        <v>38</v>
      </c>
      <c r="B79" s="173"/>
      <c r="C79" s="188"/>
      <c r="E79" s="281">
        <v>0.06</v>
      </c>
      <c r="F79" s="302">
        <f t="shared" si="0"/>
        <v>0.06</v>
      </c>
      <c r="G79" s="331">
        <f t="shared" si="2"/>
        <v>0.06</v>
      </c>
      <c r="H79" s="335"/>
      <c r="I79" s="336">
        <f t="shared" si="3"/>
        <v>147384</v>
      </c>
      <c r="J79" s="336"/>
      <c r="K79" s="326"/>
      <c r="L79" s="327"/>
      <c r="M79" s="328"/>
      <c r="N79" s="329">
        <f t="shared" si="1"/>
        <v>0</v>
      </c>
      <c r="O79" s="399"/>
      <c r="P79" s="399"/>
      <c r="Q79" s="399"/>
      <c r="R79" s="330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</row>
    <row r="80" spans="1:40" ht="12.75" customHeight="1">
      <c r="A80" s="173" t="s">
        <v>39</v>
      </c>
      <c r="B80" s="173"/>
      <c r="C80" s="188"/>
      <c r="E80" s="281">
        <v>0.02</v>
      </c>
      <c r="F80" s="302">
        <f t="shared" si="0"/>
        <v>0.02</v>
      </c>
      <c r="G80" s="331">
        <f t="shared" si="2"/>
        <v>0.02</v>
      </c>
      <c r="H80" s="335"/>
      <c r="I80" s="336">
        <f t="shared" si="3"/>
        <v>49128</v>
      </c>
      <c r="J80" s="336"/>
      <c r="K80" s="326"/>
      <c r="L80" s="327"/>
      <c r="M80" s="328"/>
      <c r="N80" s="329">
        <f t="shared" si="1"/>
        <v>0</v>
      </c>
      <c r="O80" s="399"/>
      <c r="P80" s="399"/>
      <c r="Q80" s="399"/>
      <c r="R80" s="330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</row>
    <row r="81" spans="1:40" ht="12.75" customHeight="1">
      <c r="A81" s="173" t="s">
        <v>53</v>
      </c>
      <c r="B81" s="173"/>
      <c r="C81" s="188"/>
      <c r="E81" s="281">
        <v>0.04</v>
      </c>
      <c r="F81" s="302">
        <f t="shared" si="0"/>
        <v>0.04</v>
      </c>
      <c r="G81" s="331">
        <f t="shared" si="2"/>
        <v>0.04</v>
      </c>
      <c r="H81" s="335"/>
      <c r="I81" s="336">
        <f t="shared" si="3"/>
        <v>98256</v>
      </c>
      <c r="J81" s="336"/>
      <c r="K81" s="326"/>
      <c r="L81" s="327"/>
      <c r="M81" s="328"/>
      <c r="N81" s="329">
        <f t="shared" si="1"/>
        <v>0</v>
      </c>
      <c r="O81" s="399"/>
      <c r="P81" s="399"/>
      <c r="Q81" s="399"/>
      <c r="R81" s="330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</row>
    <row r="82" spans="1:40" ht="12.75" customHeight="1">
      <c r="A82" s="173" t="s">
        <v>41</v>
      </c>
      <c r="B82" s="173"/>
      <c r="C82" s="188"/>
      <c r="E82" s="281">
        <v>0.37</v>
      </c>
      <c r="F82" s="302">
        <f t="shared" si="0"/>
        <v>0.37</v>
      </c>
      <c r="G82" s="331">
        <f t="shared" si="2"/>
        <v>0.37</v>
      </c>
      <c r="H82" s="335"/>
      <c r="I82" s="336">
        <f t="shared" si="3"/>
        <v>908869</v>
      </c>
      <c r="J82" s="336"/>
      <c r="K82" s="326"/>
      <c r="L82" s="327"/>
      <c r="M82" s="328"/>
      <c r="N82" s="329">
        <f t="shared" si="1"/>
        <v>0</v>
      </c>
      <c r="O82" s="399"/>
      <c r="P82" s="399"/>
      <c r="Q82" s="399"/>
      <c r="R82" s="330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</row>
    <row r="83" spans="1:40" ht="12.75" customHeight="1">
      <c r="A83" s="185" t="s">
        <v>54</v>
      </c>
      <c r="B83" s="185"/>
      <c r="C83" s="189"/>
      <c r="D83" s="37"/>
      <c r="E83" s="282">
        <v>0.02</v>
      </c>
      <c r="F83" s="303">
        <f t="shared" si="0"/>
        <v>0.02</v>
      </c>
      <c r="G83" s="331">
        <f t="shared" si="2"/>
        <v>0.02</v>
      </c>
      <c r="H83" s="335"/>
      <c r="I83" s="336">
        <f t="shared" si="3"/>
        <v>49128</v>
      </c>
      <c r="J83" s="336"/>
      <c r="K83" s="326"/>
      <c r="L83" s="327"/>
      <c r="M83" s="328"/>
      <c r="N83" s="329">
        <f t="shared" si="1"/>
        <v>0</v>
      </c>
      <c r="O83" s="399"/>
      <c r="P83" s="399"/>
      <c r="Q83" s="399"/>
      <c r="R83" s="330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</row>
    <row r="84" spans="1:40" ht="12.75" customHeight="1">
      <c r="A84" s="190" t="s">
        <v>43</v>
      </c>
      <c r="B84" s="173"/>
      <c r="C84" s="18"/>
      <c r="E84" s="341">
        <f>SUM(E74:E83)</f>
        <v>1</v>
      </c>
      <c r="F84" s="302">
        <f>SUM(F74:F83)</f>
        <v>1.083</v>
      </c>
      <c r="G84" s="191">
        <f>SUM(G74:G83)</f>
        <v>1.083</v>
      </c>
      <c r="H84" s="191"/>
      <c r="I84" s="194">
        <f>SUM(I74:I83)</f>
        <v>2660284</v>
      </c>
      <c r="J84" s="194"/>
      <c r="L84" s="260">
        <f>I84</f>
        <v>2660284</v>
      </c>
      <c r="N84" s="338">
        <f>SUM(N74:N83)</f>
        <v>8.3000000000000004E-2</v>
      </c>
      <c r="O84" s="338">
        <f t="shared" ref="O84:AL84" si="4">SUM(O74:O83)</f>
        <v>0</v>
      </c>
      <c r="P84" s="338">
        <f t="shared" si="4"/>
        <v>0</v>
      </c>
      <c r="Q84" s="338">
        <f t="shared" si="4"/>
        <v>3.5999999999999997E-2</v>
      </c>
      <c r="R84" s="340"/>
      <c r="S84" s="338">
        <f t="shared" si="4"/>
        <v>0</v>
      </c>
      <c r="T84" s="338">
        <f>SUM(T74:T83)</f>
        <v>0</v>
      </c>
      <c r="U84" s="338">
        <f>SUM(U74:U83)</f>
        <v>1.7000000000000001E-2</v>
      </c>
      <c r="V84" s="338">
        <f t="shared" si="4"/>
        <v>0</v>
      </c>
      <c r="W84" s="338">
        <f t="shared" si="4"/>
        <v>0</v>
      </c>
      <c r="X84" s="338">
        <f>SUM(X74:X83)</f>
        <v>0</v>
      </c>
      <c r="Y84" s="338">
        <f t="shared" si="4"/>
        <v>0</v>
      </c>
      <c r="Z84" s="338">
        <f t="shared" si="4"/>
        <v>0</v>
      </c>
      <c r="AA84" s="338">
        <f t="shared" si="4"/>
        <v>0</v>
      </c>
      <c r="AB84" s="338">
        <f t="shared" si="4"/>
        <v>0</v>
      </c>
      <c r="AC84" s="338">
        <f t="shared" si="4"/>
        <v>0</v>
      </c>
      <c r="AD84" s="338">
        <f t="shared" si="4"/>
        <v>0</v>
      </c>
      <c r="AE84" s="338">
        <f t="shared" si="4"/>
        <v>0.03</v>
      </c>
      <c r="AF84" s="338">
        <f t="shared" si="4"/>
        <v>0</v>
      </c>
      <c r="AG84" s="338">
        <f t="shared" si="4"/>
        <v>0</v>
      </c>
      <c r="AH84" s="338">
        <f t="shared" si="4"/>
        <v>0</v>
      </c>
      <c r="AI84" s="338">
        <f t="shared" si="4"/>
        <v>0</v>
      </c>
      <c r="AJ84" s="338">
        <f t="shared" si="4"/>
        <v>0</v>
      </c>
      <c r="AK84" s="338">
        <f t="shared" si="4"/>
        <v>0</v>
      </c>
      <c r="AL84" s="338">
        <f t="shared" si="4"/>
        <v>0</v>
      </c>
      <c r="AM84" s="338">
        <f>SUM(AM74:AM83)</f>
        <v>0</v>
      </c>
      <c r="AN84" s="338">
        <f>SUM(AN74:AN83)</f>
        <v>0</v>
      </c>
    </row>
    <row r="85" spans="1:40" ht="12.75" customHeight="1">
      <c r="G85" s="113"/>
      <c r="L85"/>
      <c r="R85" s="24"/>
    </row>
    <row r="86" spans="1:40" ht="12.75" customHeight="1">
      <c r="B86" s="416" t="s">
        <v>244</v>
      </c>
      <c r="C86" s="173"/>
      <c r="D86" s="115"/>
      <c r="E86" s="444">
        <v>0.01</v>
      </c>
      <c r="G86" s="380">
        <v>0.01</v>
      </c>
      <c r="I86" s="257">
        <f>$I$71*G86</f>
        <v>24564</v>
      </c>
      <c r="L86"/>
      <c r="R86" s="24"/>
    </row>
    <row r="87" spans="1:40" ht="12.75" customHeight="1">
      <c r="B87" s="416" t="s">
        <v>245</v>
      </c>
      <c r="C87" s="173"/>
      <c r="D87" s="115"/>
      <c r="E87" s="444">
        <v>1.4999999999999999E-2</v>
      </c>
      <c r="G87" s="380">
        <v>0</v>
      </c>
      <c r="I87" s="257">
        <f t="shared" ref="I87:I93" si="5">$I$71*G87</f>
        <v>0</v>
      </c>
      <c r="L87"/>
      <c r="R87" s="24"/>
    </row>
    <row r="88" spans="1:40" ht="12.75" customHeight="1">
      <c r="B88" s="416" t="s">
        <v>246</v>
      </c>
      <c r="C88" s="173"/>
      <c r="D88" s="115"/>
      <c r="E88" s="444">
        <v>2.5000000000000001E-2</v>
      </c>
      <c r="G88" s="380">
        <v>0</v>
      </c>
      <c r="I88" s="257">
        <f t="shared" si="5"/>
        <v>0</v>
      </c>
      <c r="L88"/>
      <c r="R88" s="24"/>
    </row>
    <row r="89" spans="1:40" ht="12.75" customHeight="1">
      <c r="B89" s="416" t="s">
        <v>247</v>
      </c>
      <c r="C89" s="173"/>
      <c r="D89" s="115"/>
      <c r="E89" s="444">
        <v>0.03</v>
      </c>
      <c r="G89" s="380">
        <v>0</v>
      </c>
      <c r="I89" s="257">
        <f t="shared" si="5"/>
        <v>0</v>
      </c>
      <c r="L89"/>
      <c r="R89" s="24"/>
    </row>
    <row r="90" spans="1:40" ht="12.75" customHeight="1">
      <c r="B90" s="416" t="s">
        <v>248</v>
      </c>
      <c r="C90" s="173"/>
      <c r="D90" s="115"/>
      <c r="E90" s="444">
        <v>0.02</v>
      </c>
      <c r="G90" s="380">
        <v>0</v>
      </c>
      <c r="I90" s="257">
        <f t="shared" si="5"/>
        <v>0</v>
      </c>
      <c r="L90"/>
      <c r="R90" s="24"/>
    </row>
    <row r="91" spans="1:40" ht="12.75" customHeight="1">
      <c r="B91" s="416" t="s">
        <v>249</v>
      </c>
      <c r="C91" s="173"/>
      <c r="D91" s="115"/>
      <c r="E91" s="444">
        <v>0.04</v>
      </c>
      <c r="G91" s="448">
        <v>0</v>
      </c>
      <c r="I91" s="257">
        <f t="shared" si="5"/>
        <v>0</v>
      </c>
      <c r="L91"/>
      <c r="R91" s="24"/>
    </row>
    <row r="92" spans="1:40" ht="12.75" customHeight="1">
      <c r="B92" s="416" t="s">
        <v>250</v>
      </c>
      <c r="C92" s="173"/>
      <c r="D92" s="115"/>
      <c r="E92" s="445">
        <v>0.01</v>
      </c>
      <c r="G92" s="449">
        <v>0</v>
      </c>
      <c r="I92" s="257">
        <f t="shared" si="5"/>
        <v>0</v>
      </c>
      <c r="L92"/>
      <c r="R92" s="24"/>
    </row>
    <row r="93" spans="1:40" ht="12.75" customHeight="1">
      <c r="B93" s="440" t="s">
        <v>251</v>
      </c>
      <c r="C93" s="185"/>
      <c r="D93" s="441"/>
      <c r="E93" s="446">
        <v>0.01</v>
      </c>
      <c r="F93" s="37"/>
      <c r="G93" s="390">
        <v>0</v>
      </c>
      <c r="H93" s="37"/>
      <c r="I93" s="383">
        <f t="shared" si="5"/>
        <v>0</v>
      </c>
      <c r="J93" s="37"/>
      <c r="K93" s="48"/>
      <c r="L93" s="451"/>
      <c r="R93" s="24"/>
    </row>
    <row r="94" spans="1:40" ht="12.75" customHeight="1">
      <c r="B94" s="442" t="s">
        <v>252</v>
      </c>
      <c r="C94" s="404"/>
      <c r="D94" s="374"/>
      <c r="E94" s="447">
        <f>SUM(E85:E93)</f>
        <v>0.16</v>
      </c>
      <c r="G94" s="386">
        <f>SUM(G85:G93)</f>
        <v>0.01</v>
      </c>
      <c r="I94" s="387">
        <f>I85+SUM(I86:I93)</f>
        <v>24564</v>
      </c>
      <c r="L94" s="450">
        <f>I94</f>
        <v>24564</v>
      </c>
      <c r="R94" s="24"/>
    </row>
    <row r="95" spans="1:40" ht="12.75" customHeight="1">
      <c r="B95" s="115"/>
      <c r="C95" s="443"/>
      <c r="D95" s="443"/>
      <c r="G95" s="113"/>
      <c r="L95"/>
      <c r="R95" s="24"/>
    </row>
    <row r="96" spans="1:40" ht="12.75" customHeight="1">
      <c r="A96" s="34" t="s">
        <v>102</v>
      </c>
      <c r="G96" s="243">
        <v>0</v>
      </c>
      <c r="I96" s="244">
        <v>0</v>
      </c>
      <c r="K96"/>
      <c r="L96" s="260">
        <f>G96*I96</f>
        <v>0</v>
      </c>
      <c r="M96"/>
      <c r="R96" s="24"/>
    </row>
    <row r="97" spans="1:18" ht="12.75" customHeight="1">
      <c r="G97" s="113"/>
      <c r="L97"/>
      <c r="R97" s="24"/>
    </row>
    <row r="98" spans="1:18" s="24" customFormat="1" ht="12.75">
      <c r="A98" s="98" t="s">
        <v>96</v>
      </c>
      <c r="B98" s="99"/>
      <c r="C98" s="100"/>
      <c r="D98" s="100"/>
      <c r="E98" s="101"/>
      <c r="F98" s="102"/>
      <c r="G98" s="114"/>
      <c r="H98" s="101"/>
      <c r="I98" s="101"/>
      <c r="J98" s="101"/>
      <c r="K98" s="101"/>
      <c r="L98" s="103">
        <f>L84+L96</f>
        <v>2660284</v>
      </c>
    </row>
    <row r="99" spans="1:18" s="24" customFormat="1" ht="4.5" customHeight="1">
      <c r="B99" s="25"/>
      <c r="C99" s="26"/>
      <c r="D99" s="26"/>
      <c r="E99" s="49"/>
      <c r="F99" s="50"/>
      <c r="G99" s="51"/>
      <c r="H99" s="51"/>
      <c r="I99" s="51"/>
      <c r="J99" s="51"/>
      <c r="L99" s="95"/>
    </row>
    <row r="100" spans="1:18" s="24" customFormat="1" ht="12.75">
      <c r="A100" s="52" t="s">
        <v>12</v>
      </c>
      <c r="B100" s="25"/>
      <c r="C100" s="26"/>
      <c r="D100" s="26"/>
      <c r="E100" s="50"/>
      <c r="F100" s="50"/>
      <c r="G100" s="237">
        <v>0.04</v>
      </c>
      <c r="H100" s="28"/>
      <c r="I100" s="51"/>
      <c r="J100" s="51"/>
      <c r="L100" s="96">
        <f>ROUND(L98*G100,2)</f>
        <v>106411</v>
      </c>
    </row>
    <row r="101" spans="1:18" s="24" customFormat="1" ht="3" customHeight="1">
      <c r="A101" s="53"/>
      <c r="B101" s="54"/>
      <c r="C101" s="55"/>
      <c r="D101" s="55"/>
      <c r="E101" s="59"/>
      <c r="F101" s="59"/>
      <c r="G101" s="238"/>
      <c r="H101" s="238"/>
      <c r="I101" s="67"/>
      <c r="J101" s="67"/>
      <c r="K101" s="53"/>
      <c r="L101" s="97"/>
    </row>
    <row r="102" spans="1:18" s="24" customFormat="1" ht="3" customHeight="1">
      <c r="B102" s="25"/>
      <c r="C102" s="26"/>
      <c r="D102" s="26"/>
      <c r="E102" s="27"/>
      <c r="F102" s="27"/>
      <c r="G102" s="236"/>
      <c r="H102" s="236"/>
      <c r="I102" s="51"/>
      <c r="J102" s="51"/>
      <c r="L102" s="95"/>
    </row>
    <row r="103" spans="1:18" s="24" customFormat="1" ht="12.75">
      <c r="A103" s="56" t="s">
        <v>97</v>
      </c>
      <c r="B103" s="57"/>
      <c r="C103" s="58"/>
      <c r="D103" s="58"/>
      <c r="E103" s="27"/>
      <c r="F103" s="27"/>
      <c r="G103" s="236"/>
      <c r="H103" s="236"/>
      <c r="I103" s="51"/>
      <c r="J103" s="51"/>
      <c r="L103" s="96">
        <f>L98+L100</f>
        <v>2766695</v>
      </c>
      <c r="R103" s="1"/>
    </row>
    <row r="104" spans="1:18" s="24" customFormat="1" ht="12.75">
      <c r="A104" s="24" t="s">
        <v>13</v>
      </c>
      <c r="B104" s="25"/>
      <c r="D104" s="26"/>
      <c r="E104" s="27"/>
      <c r="F104" s="27"/>
      <c r="G104" s="28">
        <v>0.2</v>
      </c>
      <c r="H104" s="28"/>
      <c r="I104" s="28"/>
      <c r="J104" s="28"/>
      <c r="L104" s="96">
        <f>ROUND(L103*G104,2)</f>
        <v>553339</v>
      </c>
      <c r="R104" s="216"/>
    </row>
    <row r="105" spans="1:18" s="24" customFormat="1" ht="3" customHeight="1">
      <c r="B105" s="25"/>
      <c r="C105" s="26"/>
      <c r="D105" s="26"/>
      <c r="E105" s="27"/>
      <c r="F105" s="27"/>
      <c r="G105" s="51"/>
      <c r="H105" s="51"/>
      <c r="I105" s="51"/>
      <c r="J105" s="51"/>
      <c r="L105" s="95"/>
      <c r="R105" s="1"/>
    </row>
    <row r="106" spans="1:18" s="24" customFormat="1" ht="12.75">
      <c r="A106" s="202" t="s">
        <v>98</v>
      </c>
      <c r="B106" s="214"/>
      <c r="C106" s="203"/>
      <c r="D106" s="203"/>
      <c r="E106" s="204"/>
      <c r="F106" s="205"/>
      <c r="G106" s="206"/>
      <c r="H106" s="206"/>
      <c r="I106" s="206"/>
      <c r="J106" s="206"/>
      <c r="K106" s="204"/>
      <c r="L106" s="207">
        <f>SUM(L103:L104)</f>
        <v>3320034</v>
      </c>
      <c r="R106" s="1"/>
    </row>
    <row r="107" spans="1:18" ht="5.0999999999999996" customHeight="1"/>
    <row r="108" spans="1:18" s="216" customFormat="1" ht="12.75">
      <c r="A108" s="216" t="s">
        <v>86</v>
      </c>
      <c r="B108" s="217"/>
      <c r="C108" s="217"/>
      <c r="G108" s="261">
        <f>L103/G36</f>
        <v>7.9640000000000002E-2</v>
      </c>
      <c r="K108" s="218"/>
      <c r="L108" s="219"/>
      <c r="M108" s="219"/>
    </row>
  </sheetData>
  <sheetProtection algorithmName="SHA-512" hashValue="dS3goFXIQSZhWqz8lFI5lXXjImyCr9MahCgiz2g5Z4Pwjp+OEp4U3vY6pIxNsU4uydbKarF+cjGKpLVvergbbw==" saltValue="QN1oUQobnjdbpjOPh4cNtg==" spinCount="100000" sheet="1"/>
  <mergeCells count="100">
    <mergeCell ref="A9:B9"/>
    <mergeCell ref="A7:B7"/>
    <mergeCell ref="A13:B13"/>
    <mergeCell ref="A12:B12"/>
    <mergeCell ref="AN46:AN71"/>
    <mergeCell ref="K46:L46"/>
    <mergeCell ref="AH7:AM8"/>
    <mergeCell ref="N46:N71"/>
    <mergeCell ref="O46:O71"/>
    <mergeCell ref="P46:P71"/>
    <mergeCell ref="Q46:Q71"/>
    <mergeCell ref="S46:S71"/>
    <mergeCell ref="AF46:AF71"/>
    <mergeCell ref="T46:T71"/>
    <mergeCell ref="A11:B11"/>
    <mergeCell ref="V46:V71"/>
    <mergeCell ref="W46:W71"/>
    <mergeCell ref="X46:X71"/>
    <mergeCell ref="Y46:Y71"/>
    <mergeCell ref="A32:B32"/>
    <mergeCell ref="A34:B34"/>
    <mergeCell ref="A38:B38"/>
    <mergeCell ref="A28:B28"/>
    <mergeCell ref="A15:B15"/>
    <mergeCell ref="A14:B14"/>
    <mergeCell ref="AH38:AI39"/>
    <mergeCell ref="AH40:AI41"/>
    <mergeCell ref="AF30:AG31"/>
    <mergeCell ref="AF32:AG33"/>
    <mergeCell ref="AF34:AG35"/>
    <mergeCell ref="AF28:AG29"/>
    <mergeCell ref="A16:B16"/>
    <mergeCell ref="A19:B19"/>
    <mergeCell ref="A18:B18"/>
    <mergeCell ref="A17:B17"/>
    <mergeCell ref="A30:B30"/>
    <mergeCell ref="A21:B21"/>
    <mergeCell ref="A23:B23"/>
    <mergeCell ref="AL46:AL71"/>
    <mergeCell ref="AM46:AM71"/>
    <mergeCell ref="Z46:Z71"/>
    <mergeCell ref="AH46:AH71"/>
    <mergeCell ref="AI46:AI71"/>
    <mergeCell ref="AJ46:AJ71"/>
    <mergeCell ref="AK46:AK71"/>
    <mergeCell ref="AH9:AK9"/>
    <mergeCell ref="AH3:AK4"/>
    <mergeCell ref="AH5:AK6"/>
    <mergeCell ref="AF20:AF21"/>
    <mergeCell ref="AH20:AK21"/>
    <mergeCell ref="AH11:AM11"/>
    <mergeCell ref="AH17:AK17"/>
    <mergeCell ref="AH19:AK19"/>
    <mergeCell ref="AH15:AK15"/>
    <mergeCell ref="AF3:AG4"/>
    <mergeCell ref="AH13:AM13"/>
    <mergeCell ref="A24:B24"/>
    <mergeCell ref="A25:B25"/>
    <mergeCell ref="A26:B26"/>
    <mergeCell ref="T72:T73"/>
    <mergeCell ref="AF5:AG6"/>
    <mergeCell ref="AF7:AG8"/>
    <mergeCell ref="AA46:AA71"/>
    <mergeCell ref="AB46:AB71"/>
    <mergeCell ref="AC46:AC71"/>
    <mergeCell ref="AD46:AD71"/>
    <mergeCell ref="AE46:AE71"/>
    <mergeCell ref="AG46:AG71"/>
    <mergeCell ref="U46:U71"/>
    <mergeCell ref="N72:N73"/>
    <mergeCell ref="O72:O73"/>
    <mergeCell ref="P72:P73"/>
    <mergeCell ref="K2:L2"/>
    <mergeCell ref="AF26:AG27"/>
    <mergeCell ref="AF22:AG23"/>
    <mergeCell ref="L14:L15"/>
    <mergeCell ref="L17:L18"/>
    <mergeCell ref="AF24:AG25"/>
    <mergeCell ref="Q72:Q73"/>
    <mergeCell ref="S72:S73"/>
    <mergeCell ref="AF72:AF73"/>
    <mergeCell ref="U72:U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AD72:AD73"/>
    <mergeCell ref="AE72:AE73"/>
    <mergeCell ref="AG72:AG73"/>
    <mergeCell ref="AN72:AN73"/>
    <mergeCell ref="AH72:AH73"/>
    <mergeCell ref="AI72:AI73"/>
    <mergeCell ref="AJ72:AJ73"/>
    <mergeCell ref="AK72:AK73"/>
    <mergeCell ref="AL72:AL73"/>
    <mergeCell ref="AM72:AM73"/>
  </mergeCells>
  <conditionalFormatting sqref="G66">
    <cfRule type="expression" dxfId="19" priority="33" stopIfTrue="1">
      <formula>$G$61&gt;1999999.99</formula>
    </cfRule>
  </conditionalFormatting>
  <conditionalFormatting sqref="G67">
    <cfRule type="expression" dxfId="18" priority="32" stopIfTrue="1">
      <formula>$G$61&lt;2000000</formula>
    </cfRule>
  </conditionalFormatting>
  <conditionalFormatting sqref="K19">
    <cfRule type="expression" dxfId="17" priority="2">
      <formula>K11="Abminderung"</formula>
    </cfRule>
  </conditionalFormatting>
  <conditionalFormatting sqref="K16:L16">
    <cfRule type="expression" dxfId="16" priority="3">
      <formula>K11="Abminderung"</formula>
    </cfRule>
  </conditionalFormatting>
  <conditionalFormatting sqref="L16">
    <cfRule type="expression" dxfId="15" priority="4">
      <formula>K11="Abminderung"</formula>
    </cfRule>
  </conditionalFormatting>
  <conditionalFormatting sqref="L19">
    <cfRule type="expression" dxfId="14" priority="1">
      <formula>K11="Abminderung"</formula>
    </cfRule>
  </conditionalFormatting>
  <conditionalFormatting sqref="O72:Q73">
    <cfRule type="containsText" dxfId="13" priority="14" stopIfTrue="1" operator="containsText" text="x">
      <formula>NOT(ISERROR(SEARCH("x",O72)))</formula>
    </cfRule>
  </conditionalFormatting>
  <conditionalFormatting sqref="O74:Q83">
    <cfRule type="expression" dxfId="12" priority="10" stopIfTrue="1">
      <formula>IF(O$72="x",TRUE())</formula>
    </cfRule>
  </conditionalFormatting>
  <conditionalFormatting sqref="S72:AN73">
    <cfRule type="containsText" dxfId="11" priority="11" stopIfTrue="1" operator="containsText" text="x">
      <formula>NOT(ISERROR(SEARCH("x",S72)))</formula>
    </cfRule>
  </conditionalFormatting>
  <conditionalFormatting sqref="S74:AN83">
    <cfRule type="expression" dxfId="10" priority="8" stopIfTrue="1">
      <formula>IF(S$72="x",TRUE())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0" pageOrder="overThenDown" orientation="landscape" r:id="rId1"/>
  <headerFooter>
    <oddHeader xml:space="preserve">&amp;L&amp;"Arial,Fett"&amp;K01+018Angebot Generalplaner gesamt  (GP 2b + Planung + ÖBA) mit BIM
&amp;"Arial,Standard"(TA Anlagengruppen gesamt)&amp;R&amp;"Arial,Standard"&amp;K01+019Version 4
Stand: 09.08.2024
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771" r:id="rId4" name="Scroll Bar 1691">
              <controlPr defaultSize="0" autoPict="0">
                <anchor moveWithCells="1">
                  <from>
                    <xdr:col>10</xdr:col>
                    <xdr:colOff>9525</xdr:colOff>
                    <xdr:row>46</xdr:row>
                    <xdr:rowOff>28575</xdr:rowOff>
                  </from>
                  <to>
                    <xdr:col>11</xdr:col>
                    <xdr:colOff>742950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2" r:id="rId5" name="Scroll Bar 1692">
              <controlPr defaultSize="0" autoPict="0">
                <anchor moveWithCells="1">
                  <from>
                    <xdr:col>10</xdr:col>
                    <xdr:colOff>19050</xdr:colOff>
                    <xdr:row>47</xdr:row>
                    <xdr:rowOff>28575</xdr:rowOff>
                  </from>
                  <to>
                    <xdr:col>11</xdr:col>
                    <xdr:colOff>742950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3" r:id="rId6" name="Scroll Bar 1693">
              <controlPr defaultSize="0" autoPict="0">
                <anchor moveWithCells="1">
                  <from>
                    <xdr:col>10</xdr:col>
                    <xdr:colOff>19050</xdr:colOff>
                    <xdr:row>48</xdr:row>
                    <xdr:rowOff>28575</xdr:rowOff>
                  </from>
                  <to>
                    <xdr:col>11</xdr:col>
                    <xdr:colOff>742950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4" r:id="rId7" name="Scroll Bar 1694">
              <controlPr defaultSize="0" autoPict="0">
                <anchor moveWithCells="1">
                  <from>
                    <xdr:col>10</xdr:col>
                    <xdr:colOff>19050</xdr:colOff>
                    <xdr:row>49</xdr:row>
                    <xdr:rowOff>28575</xdr:rowOff>
                  </from>
                  <to>
                    <xdr:col>11</xdr:col>
                    <xdr:colOff>742950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5" r:id="rId8" name="Scroll Bar 1695">
              <controlPr defaultSize="0" autoPict="0">
                <anchor moveWithCells="1">
                  <from>
                    <xdr:col>10</xdr:col>
                    <xdr:colOff>19050</xdr:colOff>
                    <xdr:row>51</xdr:row>
                    <xdr:rowOff>28575</xdr:rowOff>
                  </from>
                  <to>
                    <xdr:col>11</xdr:col>
                    <xdr:colOff>742950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6" r:id="rId9" name="Scroll Bar 1696">
              <controlPr defaultSize="0" autoPict="0">
                <anchor moveWithCells="1">
                  <from>
                    <xdr:col>10</xdr:col>
                    <xdr:colOff>19050</xdr:colOff>
                    <xdr:row>52</xdr:row>
                    <xdr:rowOff>28575</xdr:rowOff>
                  </from>
                  <to>
                    <xdr:col>11</xdr:col>
                    <xdr:colOff>742950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7" r:id="rId10" name="Scroll Bar 1697">
              <controlPr defaultSize="0" autoPict="0">
                <anchor moveWithCells="1">
                  <from>
                    <xdr:col>10</xdr:col>
                    <xdr:colOff>19050</xdr:colOff>
                    <xdr:row>53</xdr:row>
                    <xdr:rowOff>28575</xdr:rowOff>
                  </from>
                  <to>
                    <xdr:col>11</xdr:col>
                    <xdr:colOff>742950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8" r:id="rId11" name="Scroll Bar 1698">
              <controlPr defaultSize="0" autoPict="0">
                <anchor moveWithCells="1">
                  <from>
                    <xdr:col>10</xdr:col>
                    <xdr:colOff>19050</xdr:colOff>
                    <xdr:row>54</xdr:row>
                    <xdr:rowOff>28575</xdr:rowOff>
                  </from>
                  <to>
                    <xdr:col>11</xdr:col>
                    <xdr:colOff>742950</xdr:colOff>
                    <xdr:row>54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rgb="FF92D050"/>
    <pageSetUpPr fitToPage="1"/>
  </sheetPr>
  <dimension ref="A1:AQ100"/>
  <sheetViews>
    <sheetView showGridLines="0" zoomScaleNormal="100" zoomScaleSheetLayoutView="100" workbookViewId="0">
      <selection activeCell="J7" sqref="J7"/>
    </sheetView>
  </sheetViews>
  <sheetFormatPr baseColWidth="10" defaultColWidth="11.5703125" defaultRowHeight="14.25"/>
  <cols>
    <col min="1" max="1" width="1.5703125" style="1" customWidth="1"/>
    <col min="2" max="2" width="2.28515625" style="7" customWidth="1"/>
    <col min="3" max="3" width="3.28515625" style="7" customWidth="1"/>
    <col min="4" max="4" width="35.140625" style="1" customWidth="1"/>
    <col min="5" max="5" width="8.7109375" style="1" customWidth="1"/>
    <col min="6" max="6" width="8.42578125" style="1" customWidth="1"/>
    <col min="7" max="7" width="15.7109375" style="1" customWidth="1"/>
    <col min="8" max="8" width="11.7109375" style="1" customWidth="1"/>
    <col min="9" max="9" width="5" style="1" customWidth="1"/>
    <col min="10" max="10" width="7.7109375" style="8" customWidth="1" collapsed="1"/>
    <col min="11" max="11" width="15.7109375" style="9" customWidth="1"/>
    <col min="12" max="12" width="1.5703125" style="9" customWidth="1"/>
    <col min="13" max="13" width="8.28515625" style="284" customWidth="1"/>
    <col min="14" max="15" width="6.140625" style="284" customWidth="1"/>
    <col min="16" max="16" width="6.140625" style="1" customWidth="1"/>
    <col min="17" max="17" width="30.5703125" style="1" customWidth="1"/>
    <col min="18" max="39" width="6.140625" style="1" customWidth="1"/>
    <col min="40" max="40" width="22.7109375" style="1" customWidth="1"/>
    <col min="41" max="16384" width="11.5703125" style="1"/>
  </cols>
  <sheetData>
    <row r="1" spans="1:40" ht="5.0999999999999996" customHeight="1"/>
    <row r="2" spans="1:40" s="39" customFormat="1" ht="35.1" customHeight="1">
      <c r="A2" s="111" t="s">
        <v>87</v>
      </c>
      <c r="C2" s="7"/>
      <c r="G2" s="40"/>
      <c r="H2" s="40"/>
      <c r="I2" s="40"/>
      <c r="J2" s="496" t="s">
        <v>213</v>
      </c>
      <c r="K2" s="496"/>
      <c r="L2" s="45"/>
      <c r="M2" s="285"/>
      <c r="N2" s="285"/>
      <c r="O2" s="285"/>
      <c r="AE2" s="299" t="s">
        <v>135</v>
      </c>
      <c r="AF2" s="300"/>
      <c r="AG2" s="300"/>
      <c r="AH2" s="300"/>
      <c r="AI2" s="300"/>
      <c r="AJ2" s="300"/>
      <c r="AK2" s="300"/>
      <c r="AL2" s="321"/>
      <c r="AM2" s="323"/>
      <c r="AN2" s="308"/>
    </row>
    <row r="3" spans="1:40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7"/>
      <c r="L3" s="2"/>
      <c r="AE3" s="473" t="s">
        <v>136</v>
      </c>
      <c r="AF3" s="474"/>
      <c r="AG3" s="487" t="str">
        <f>'GP2b Mgt. NEU BIM'!AF3</f>
        <v>Musterschulgebäude</v>
      </c>
      <c r="AH3" s="487"/>
      <c r="AI3" s="487"/>
      <c r="AJ3" s="487"/>
      <c r="AM3" s="289"/>
      <c r="AN3" s="305"/>
    </row>
    <row r="4" spans="1:40" s="10" customFormat="1" ht="6" customHeight="1">
      <c r="K4" s="2"/>
      <c r="L4" s="2"/>
      <c r="AE4" s="473"/>
      <c r="AF4" s="474"/>
      <c r="AG4" s="487"/>
      <c r="AH4" s="487"/>
      <c r="AI4" s="487"/>
      <c r="AJ4" s="487"/>
      <c r="AM4" s="289"/>
      <c r="AN4" s="305"/>
    </row>
    <row r="5" spans="1:40" s="10" customFormat="1" ht="12.95" customHeight="1">
      <c r="F5" s="72" t="s">
        <v>63</v>
      </c>
      <c r="G5" s="32" t="s">
        <v>49</v>
      </c>
      <c r="H5" s="32"/>
      <c r="I5" s="32"/>
      <c r="J5" s="12" t="s">
        <v>15</v>
      </c>
      <c r="K5" s="93" t="s">
        <v>50</v>
      </c>
      <c r="L5" s="32"/>
      <c r="AE5" s="473" t="s">
        <v>146</v>
      </c>
      <c r="AF5" s="474"/>
      <c r="AG5" s="487" t="str">
        <f>'Summenblatt Schule'!O5</f>
        <v>Schule 25 Mio BK</v>
      </c>
      <c r="AH5" s="487"/>
      <c r="AI5" s="487"/>
      <c r="AJ5" s="487"/>
      <c r="AM5" s="289"/>
    </row>
    <row r="6" spans="1:40" s="10" customFormat="1" ht="6" customHeight="1">
      <c r="G6" s="70"/>
      <c r="K6" s="2"/>
      <c r="L6" s="2"/>
      <c r="AE6" s="473"/>
      <c r="AF6" s="474"/>
      <c r="AG6" s="487"/>
      <c r="AH6" s="487"/>
      <c r="AI6" s="487"/>
      <c r="AJ6" s="487"/>
      <c r="AM6" s="289"/>
    </row>
    <row r="7" spans="1:40" s="11" customFormat="1" ht="12.95" customHeight="1">
      <c r="A7" s="484">
        <v>1</v>
      </c>
      <c r="B7" s="484"/>
      <c r="C7" s="79"/>
      <c r="D7" s="80" t="s">
        <v>0</v>
      </c>
      <c r="E7" s="80"/>
      <c r="F7" s="140">
        <f>G7/$G$33</f>
        <v>1E-3</v>
      </c>
      <c r="G7" s="156">
        <f>_1</f>
        <v>50000</v>
      </c>
      <c r="H7" s="75"/>
      <c r="I7" s="2"/>
      <c r="J7" s="108">
        <v>0</v>
      </c>
      <c r="K7" s="156">
        <f>G7*J7</f>
        <v>0</v>
      </c>
      <c r="L7" s="36"/>
      <c r="AE7" s="473" t="s">
        <v>137</v>
      </c>
      <c r="AF7" s="474"/>
      <c r="AG7" s="466" t="str">
        <f>'GP2b Mgt. NEU BIM'!AF7</f>
        <v>Musterstraße, 9999 Stadt</v>
      </c>
      <c r="AH7" s="466"/>
      <c r="AI7" s="466"/>
      <c r="AJ7" s="466"/>
      <c r="AK7" s="466"/>
      <c r="AL7" s="466"/>
      <c r="AM7" s="290"/>
      <c r="AN7" s="306"/>
    </row>
    <row r="8" spans="1:40" ht="6.95" customHeight="1">
      <c r="B8" s="4"/>
      <c r="C8" s="6"/>
      <c r="F8" s="141"/>
      <c r="G8" s="125"/>
      <c r="J8" s="92"/>
      <c r="K8" s="125"/>
      <c r="L8" s="46"/>
      <c r="AE8" s="473"/>
      <c r="AF8" s="474"/>
      <c r="AG8" s="466"/>
      <c r="AH8" s="466"/>
      <c r="AI8" s="466"/>
      <c r="AJ8" s="466"/>
      <c r="AK8" s="466"/>
      <c r="AL8" s="466"/>
      <c r="AM8" s="291"/>
      <c r="AN8" s="306"/>
    </row>
    <row r="9" spans="1:40" s="11" customFormat="1" ht="12.95" customHeight="1">
      <c r="A9" s="484">
        <v>2</v>
      </c>
      <c r="B9" s="484"/>
      <c r="C9" s="79"/>
      <c r="D9" s="80" t="s">
        <v>1</v>
      </c>
      <c r="E9" s="80"/>
      <c r="F9" s="140">
        <f>G9/$G$33</f>
        <v>0.27900000000000003</v>
      </c>
      <c r="G9" s="156">
        <f>_2</f>
        <v>9700000</v>
      </c>
      <c r="H9" s="75"/>
      <c r="I9" s="2"/>
      <c r="J9" s="109">
        <v>1</v>
      </c>
      <c r="K9" s="156">
        <f>G9*J9</f>
        <v>9700000</v>
      </c>
      <c r="L9" s="36"/>
      <c r="AE9" s="297" t="s">
        <v>138</v>
      </c>
      <c r="AF9" s="298"/>
      <c r="AG9" s="466" t="str">
        <f>'GP2b Mgt. NEU BIM'!AF11</f>
        <v xml:space="preserve"> </v>
      </c>
      <c r="AH9" s="466"/>
      <c r="AI9" s="466"/>
      <c r="AJ9" s="466"/>
      <c r="AK9" s="123"/>
      <c r="AM9" s="290"/>
      <c r="AN9" s="306"/>
    </row>
    <row r="10" spans="1:40" ht="6.95" customHeight="1">
      <c r="F10" s="141"/>
      <c r="G10" s="124"/>
      <c r="J10" s="92"/>
      <c r="K10" s="124"/>
      <c r="L10" s="36"/>
      <c r="AE10" s="297"/>
      <c r="AF10" s="298"/>
      <c r="AG10" s="304"/>
      <c r="AH10" s="304"/>
      <c r="AI10" s="304"/>
      <c r="AJ10" s="304"/>
      <c r="AK10" s="304"/>
      <c r="AM10" s="291"/>
      <c r="AN10" s="304"/>
    </row>
    <row r="11" spans="1:40" s="10" customFormat="1" ht="12.95" customHeight="1">
      <c r="A11" s="484">
        <v>3</v>
      </c>
      <c r="B11" s="484"/>
      <c r="C11" s="79"/>
      <c r="D11" s="80" t="s">
        <v>7</v>
      </c>
      <c r="E11" s="80"/>
      <c r="F11" s="140">
        <f>G11/$G$33</f>
        <v>0.18099999999999999</v>
      </c>
      <c r="G11" s="157">
        <f>_3</f>
        <v>6300000</v>
      </c>
      <c r="H11" s="75"/>
      <c r="I11" s="2"/>
      <c r="J11" s="92"/>
      <c r="K11" s="124"/>
      <c r="L11" s="36"/>
      <c r="AE11" s="297" t="s">
        <v>150</v>
      </c>
      <c r="AF11" s="298"/>
      <c r="AG11" s="502"/>
      <c r="AH11" s="502"/>
      <c r="AI11" s="502"/>
      <c r="AJ11" s="502"/>
      <c r="AK11" s="502"/>
      <c r="AL11" s="502"/>
      <c r="AM11" s="289"/>
      <c r="AN11" s="306"/>
    </row>
    <row r="12" spans="1:40" ht="12.95" customHeight="1">
      <c r="A12" s="498">
        <v>3</v>
      </c>
      <c r="B12" s="498"/>
      <c r="C12" s="83" t="s">
        <v>16</v>
      </c>
      <c r="D12" s="84" t="s">
        <v>17</v>
      </c>
      <c r="E12" s="84"/>
      <c r="F12" s="142"/>
      <c r="G12" s="153">
        <v>1003540</v>
      </c>
      <c r="H12" s="75"/>
      <c r="I12" s="2"/>
      <c r="J12" s="109">
        <v>0.02</v>
      </c>
      <c r="K12" s="158">
        <f t="shared" ref="K12:K19" si="0">G12*J12</f>
        <v>20071</v>
      </c>
      <c r="L12" s="36"/>
      <c r="AE12" s="297"/>
      <c r="AF12" s="298"/>
      <c r="AG12" s="304"/>
      <c r="AH12" s="304"/>
      <c r="AI12" s="304"/>
      <c r="AJ12" s="304"/>
      <c r="AK12" s="304"/>
      <c r="AM12" s="291"/>
      <c r="AN12" s="304"/>
    </row>
    <row r="13" spans="1:40" ht="12.95" customHeight="1">
      <c r="A13" s="497">
        <v>3</v>
      </c>
      <c r="B13" s="497"/>
      <c r="C13" s="87" t="s">
        <v>18</v>
      </c>
      <c r="D13" s="88" t="s">
        <v>25</v>
      </c>
      <c r="E13" s="88"/>
      <c r="F13" s="143"/>
      <c r="G13" s="154">
        <v>1338053</v>
      </c>
      <c r="H13" s="75"/>
      <c r="I13" s="2"/>
      <c r="J13" s="109">
        <v>0.02</v>
      </c>
      <c r="K13" s="226">
        <f t="shared" si="0"/>
        <v>26761</v>
      </c>
      <c r="L13" s="36"/>
      <c r="AE13" s="297" t="s">
        <v>176</v>
      </c>
      <c r="AF13" s="298"/>
      <c r="AG13" s="502"/>
      <c r="AH13" s="502"/>
      <c r="AI13" s="502"/>
      <c r="AJ13" s="502"/>
      <c r="AK13" s="502"/>
      <c r="AL13" s="502"/>
      <c r="AM13" s="291"/>
      <c r="AN13" s="307"/>
    </row>
    <row r="14" spans="1:40" ht="12.95" customHeight="1">
      <c r="A14" s="497">
        <v>3</v>
      </c>
      <c r="B14" s="497"/>
      <c r="C14" s="87" t="s">
        <v>19</v>
      </c>
      <c r="D14" s="88" t="s">
        <v>26</v>
      </c>
      <c r="E14" s="88"/>
      <c r="F14" s="143"/>
      <c r="G14" s="155">
        <v>1115044</v>
      </c>
      <c r="H14" s="75"/>
      <c r="I14" s="2"/>
      <c r="J14" s="109">
        <v>0.02</v>
      </c>
      <c r="K14" s="226">
        <f t="shared" si="0"/>
        <v>22301</v>
      </c>
      <c r="L14" s="36"/>
      <c r="AE14" s="297"/>
      <c r="AF14" s="298"/>
      <c r="AG14" s="304"/>
      <c r="AH14" s="304"/>
      <c r="AI14" s="304"/>
      <c r="AJ14" s="304"/>
      <c r="AK14" s="304"/>
      <c r="AM14" s="291"/>
      <c r="AN14" s="304"/>
    </row>
    <row r="15" spans="1:40" ht="12.95" customHeight="1">
      <c r="A15" s="497">
        <v>3</v>
      </c>
      <c r="B15" s="497"/>
      <c r="C15" s="87" t="s">
        <v>20</v>
      </c>
      <c r="D15" s="88" t="s">
        <v>27</v>
      </c>
      <c r="E15" s="88"/>
      <c r="F15" s="143"/>
      <c r="G15" s="155">
        <v>1672566</v>
      </c>
      <c r="H15" s="75"/>
      <c r="I15" s="2"/>
      <c r="J15" s="109">
        <v>0.02</v>
      </c>
      <c r="K15" s="226">
        <f t="shared" si="0"/>
        <v>33451</v>
      </c>
      <c r="L15" s="36"/>
      <c r="M15" s="31"/>
      <c r="AE15" s="297" t="s">
        <v>139</v>
      </c>
      <c r="AF15" s="298"/>
      <c r="AG15" s="467" t="str">
        <f>'GP2b Mgt. NEU BIM'!AF15</f>
        <v>nn m²</v>
      </c>
      <c r="AH15" s="467"/>
      <c r="AI15" s="467"/>
      <c r="AJ15" s="467"/>
      <c r="AK15" s="304"/>
      <c r="AM15" s="291"/>
      <c r="AN15" s="307"/>
    </row>
    <row r="16" spans="1:40" ht="12.95" customHeight="1">
      <c r="A16" s="497">
        <v>3</v>
      </c>
      <c r="B16" s="497"/>
      <c r="C16" s="87" t="s">
        <v>21</v>
      </c>
      <c r="D16" s="88" t="s">
        <v>30</v>
      </c>
      <c r="E16" s="88"/>
      <c r="F16" s="143"/>
      <c r="G16" s="155">
        <v>669027</v>
      </c>
      <c r="H16" s="75"/>
      <c r="I16" s="2"/>
      <c r="J16" s="109">
        <v>0</v>
      </c>
      <c r="K16" s="226">
        <f t="shared" si="0"/>
        <v>0</v>
      </c>
      <c r="L16" s="36"/>
      <c r="M16" s="31"/>
      <c r="AE16" s="297"/>
      <c r="AF16" s="298"/>
      <c r="AG16" s="304"/>
      <c r="AH16" s="304"/>
      <c r="AI16" s="304"/>
      <c r="AJ16" s="304"/>
      <c r="AK16" s="304"/>
      <c r="AM16" s="291"/>
      <c r="AN16" s="304"/>
    </row>
    <row r="17" spans="1:40" ht="12.95" customHeight="1">
      <c r="A17" s="497">
        <v>3</v>
      </c>
      <c r="B17" s="497"/>
      <c r="C17" s="87" t="s">
        <v>22</v>
      </c>
      <c r="D17" s="88" t="s">
        <v>28</v>
      </c>
      <c r="E17" s="88"/>
      <c r="F17" s="143"/>
      <c r="G17" s="155">
        <v>167257</v>
      </c>
      <c r="H17" s="75"/>
      <c r="I17" s="2"/>
      <c r="J17" s="109">
        <v>0.05</v>
      </c>
      <c r="K17" s="226">
        <f t="shared" si="0"/>
        <v>8363</v>
      </c>
      <c r="L17" s="36"/>
      <c r="M17" s="31"/>
      <c r="AE17" s="297" t="s">
        <v>140</v>
      </c>
      <c r="AF17" s="298"/>
      <c r="AG17" s="467" t="str">
        <f>'GP2b Mgt. NEU BIM'!AF15</f>
        <v>nn m²</v>
      </c>
      <c r="AH17" s="467"/>
      <c r="AI17" s="467"/>
      <c r="AJ17" s="467"/>
      <c r="AK17" s="304"/>
      <c r="AM17" s="291"/>
      <c r="AN17" s="307"/>
    </row>
    <row r="18" spans="1:40" ht="12.95" customHeight="1">
      <c r="A18" s="497">
        <v>3</v>
      </c>
      <c r="B18" s="497"/>
      <c r="C18" s="87" t="s">
        <v>23</v>
      </c>
      <c r="D18" s="88" t="s">
        <v>29</v>
      </c>
      <c r="E18" s="88"/>
      <c r="F18" s="143"/>
      <c r="G18" s="155">
        <v>0</v>
      </c>
      <c r="H18" s="75"/>
      <c r="I18" s="2"/>
      <c r="J18" s="109">
        <v>0</v>
      </c>
      <c r="K18" s="226">
        <f t="shared" si="0"/>
        <v>0</v>
      </c>
      <c r="L18" s="36"/>
      <c r="M18" s="31"/>
      <c r="AE18" s="297"/>
      <c r="AF18" s="298"/>
      <c r="AG18" s="304"/>
      <c r="AH18" s="304"/>
      <c r="AI18" s="304"/>
      <c r="AJ18" s="304"/>
      <c r="AK18" s="304"/>
      <c r="AM18" s="291"/>
      <c r="AN18" s="304"/>
    </row>
    <row r="19" spans="1:40" ht="12.95" customHeight="1">
      <c r="A19" s="497">
        <v>3</v>
      </c>
      <c r="B19" s="497"/>
      <c r="C19" s="87" t="s">
        <v>24</v>
      </c>
      <c r="D19" s="88" t="s">
        <v>8</v>
      </c>
      <c r="E19" s="88"/>
      <c r="F19" s="143"/>
      <c r="G19" s="155">
        <v>334513</v>
      </c>
      <c r="H19" s="75"/>
      <c r="I19" s="2"/>
      <c r="J19" s="109">
        <v>0</v>
      </c>
      <c r="K19" s="227">
        <f t="shared" si="0"/>
        <v>0</v>
      </c>
      <c r="L19" s="36"/>
      <c r="M19" s="31"/>
      <c r="AE19" s="297" t="s">
        <v>141</v>
      </c>
      <c r="AF19" s="298"/>
      <c r="AG19" s="467" t="str">
        <f>'GP2b Mgt. NEU BIM'!AF19</f>
        <v>nn m³</v>
      </c>
      <c r="AH19" s="467"/>
      <c r="AI19" s="467"/>
      <c r="AJ19" s="467"/>
      <c r="AK19" s="304"/>
      <c r="AM19" s="291"/>
      <c r="AN19" s="307"/>
    </row>
    <row r="20" spans="1:40" ht="6.95" customHeight="1">
      <c r="F20" s="141"/>
      <c r="G20" s="124"/>
      <c r="J20" s="110"/>
      <c r="K20" s="124"/>
      <c r="L20" s="35"/>
      <c r="AE20" s="297"/>
      <c r="AF20" s="298"/>
      <c r="AG20" s="304"/>
      <c r="AH20" s="304"/>
      <c r="AI20" s="304"/>
      <c r="AJ20" s="304"/>
      <c r="AK20" s="304"/>
      <c r="AM20" s="291"/>
      <c r="AN20" s="304"/>
    </row>
    <row r="21" spans="1:40" s="10" customFormat="1" ht="12.75" customHeight="1">
      <c r="A21" s="484">
        <v>4</v>
      </c>
      <c r="B21" s="484"/>
      <c r="C21" s="79"/>
      <c r="D21" s="80" t="s">
        <v>2</v>
      </c>
      <c r="E21" s="80"/>
      <c r="F21" s="140">
        <f>G21/$G$33</f>
        <v>0.25900000000000001</v>
      </c>
      <c r="G21" s="156">
        <f>_4</f>
        <v>9000000</v>
      </c>
      <c r="H21" s="75"/>
      <c r="I21" s="2"/>
      <c r="J21" s="109">
        <v>0.05</v>
      </c>
      <c r="K21" s="156">
        <f>G21*J21</f>
        <v>450000</v>
      </c>
      <c r="L21" s="36"/>
      <c r="AE21" s="473" t="s">
        <v>142</v>
      </c>
      <c r="AF21" s="298"/>
      <c r="AG21" s="466" t="str">
        <f>'GP2b Mgt. NEU BIM'!AF21</f>
        <v>nn m³</v>
      </c>
      <c r="AH21" s="466"/>
      <c r="AI21" s="466"/>
      <c r="AJ21" s="466"/>
      <c r="AK21" s="123"/>
      <c r="AM21" s="289"/>
      <c r="AN21" s="306"/>
    </row>
    <row r="22" spans="1:40" ht="6.95" customHeight="1">
      <c r="B22" s="4"/>
      <c r="C22" s="6"/>
      <c r="F22" s="141"/>
      <c r="G22" s="124"/>
      <c r="J22" s="92"/>
      <c r="K22" s="124"/>
      <c r="L22" s="34"/>
      <c r="AE22" s="473"/>
      <c r="AF22" s="298"/>
      <c r="AG22" s="466"/>
      <c r="AH22" s="466"/>
      <c r="AI22" s="466"/>
      <c r="AJ22" s="466"/>
      <c r="AM22" s="291"/>
    </row>
    <row r="23" spans="1:40" s="11" customFormat="1" ht="12.95" customHeight="1">
      <c r="A23" s="484">
        <v>5</v>
      </c>
      <c r="B23" s="484"/>
      <c r="C23" s="79"/>
      <c r="D23" s="80" t="s">
        <v>9</v>
      </c>
      <c r="E23" s="80"/>
      <c r="F23" s="140">
        <f>G23/$G$33</f>
        <v>4.0000000000000001E-3</v>
      </c>
      <c r="G23" s="158">
        <f>_5</f>
        <v>130000</v>
      </c>
      <c r="H23" s="75"/>
      <c r="I23" s="2"/>
      <c r="J23" s="108">
        <v>0</v>
      </c>
      <c r="K23" s="156">
        <f>G23*J23</f>
        <v>0</v>
      </c>
      <c r="L23" s="36"/>
      <c r="AE23" s="473"/>
      <c r="AF23" s="474"/>
      <c r="AM23" s="290"/>
    </row>
    <row r="24" spans="1:40" ht="6.95" customHeight="1">
      <c r="F24" s="141"/>
      <c r="G24" s="124"/>
      <c r="J24" s="92"/>
      <c r="K24" s="124"/>
      <c r="L24" s="36"/>
      <c r="AE24" s="473"/>
      <c r="AF24" s="474"/>
      <c r="AM24" s="291"/>
    </row>
    <row r="25" spans="1:40" s="10" customFormat="1" ht="12.95" customHeight="1">
      <c r="A25" s="484">
        <v>6</v>
      </c>
      <c r="B25" s="484"/>
      <c r="C25" s="79"/>
      <c r="D25" s="80" t="s">
        <v>3</v>
      </c>
      <c r="E25" s="80"/>
      <c r="F25" s="140">
        <f>G25/$G$33</f>
        <v>1E-3</v>
      </c>
      <c r="G25" s="156">
        <f>_6</f>
        <v>35000</v>
      </c>
      <c r="H25" s="75"/>
      <c r="I25" s="2"/>
      <c r="J25" s="109">
        <v>0</v>
      </c>
      <c r="K25" s="156">
        <f>G25*J25</f>
        <v>0</v>
      </c>
      <c r="L25" s="36"/>
      <c r="M25" s="284"/>
      <c r="N25" s="284"/>
      <c r="O25" s="28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473"/>
      <c r="AF25" s="474"/>
      <c r="AG25" s="1"/>
      <c r="AH25" s="1"/>
      <c r="AI25" s="1"/>
      <c r="AJ25" s="1"/>
      <c r="AK25" s="1"/>
      <c r="AL25" s="1"/>
      <c r="AM25" s="291"/>
      <c r="AN25" s="1"/>
    </row>
    <row r="26" spans="1:40" ht="6.95" customHeight="1">
      <c r="B26" s="13"/>
      <c r="C26" s="5"/>
      <c r="F26" s="144"/>
      <c r="G26" s="124"/>
      <c r="J26" s="92"/>
      <c r="K26" s="124"/>
      <c r="L26" s="36"/>
      <c r="AE26" s="473"/>
      <c r="AF26" s="474"/>
      <c r="AM26" s="291"/>
    </row>
    <row r="27" spans="1:40" s="11" customFormat="1" ht="12.95" customHeight="1">
      <c r="A27" s="484">
        <v>7</v>
      </c>
      <c r="B27" s="484"/>
      <c r="C27" s="79"/>
      <c r="D27" s="80" t="s">
        <v>90</v>
      </c>
      <c r="E27" s="80"/>
      <c r="F27" s="140">
        <f>G27/$G$33</f>
        <v>0.187</v>
      </c>
      <c r="G27" s="156">
        <f>_7</f>
        <v>6500000</v>
      </c>
      <c r="H27" s="75"/>
      <c r="I27" s="2"/>
      <c r="J27" s="109">
        <v>0</v>
      </c>
      <c r="K27" s="156">
        <f>G27*J27</f>
        <v>0</v>
      </c>
      <c r="L27" s="36"/>
      <c r="M27" s="284"/>
      <c r="N27" s="284"/>
      <c r="O27" s="28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473"/>
      <c r="AF27" s="474"/>
      <c r="AG27" s="1"/>
      <c r="AH27" s="1"/>
      <c r="AI27" s="1"/>
      <c r="AJ27" s="1"/>
      <c r="AK27" s="1"/>
      <c r="AL27" s="1"/>
      <c r="AM27" s="291"/>
      <c r="AN27" s="1"/>
    </row>
    <row r="28" spans="1:40" ht="6.95" customHeight="1">
      <c r="F28" s="144"/>
      <c r="G28" s="124"/>
      <c r="J28" s="92"/>
      <c r="K28" s="124"/>
      <c r="L28" s="3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473"/>
      <c r="AF28" s="474"/>
      <c r="AG28" s="10"/>
      <c r="AH28" s="10"/>
      <c r="AI28" s="10"/>
      <c r="AJ28" s="10"/>
      <c r="AK28" s="10"/>
      <c r="AL28" s="10"/>
      <c r="AM28" s="289"/>
      <c r="AN28" s="10"/>
    </row>
    <row r="29" spans="1:40" s="11" customFormat="1" ht="12.95" customHeight="1">
      <c r="A29" s="484">
        <v>8</v>
      </c>
      <c r="B29" s="484"/>
      <c r="C29" s="79"/>
      <c r="D29" s="80" t="s">
        <v>85</v>
      </c>
      <c r="E29" s="80"/>
      <c r="F29" s="140">
        <f>G29/$G$33</f>
        <v>1E-3</v>
      </c>
      <c r="G29" s="156">
        <f>_8</f>
        <v>25000</v>
      </c>
      <c r="H29" s="75"/>
      <c r="I29" s="2"/>
      <c r="J29" s="109">
        <v>0</v>
      </c>
      <c r="K29" s="156">
        <f>G29*J29</f>
        <v>0</v>
      </c>
      <c r="L29" s="36"/>
      <c r="M29" s="9"/>
      <c r="N29" s="284"/>
      <c r="O29" s="28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473"/>
      <c r="AF29" s="474"/>
      <c r="AG29" s="1"/>
      <c r="AH29" s="1"/>
      <c r="AI29" s="1"/>
      <c r="AJ29" s="1"/>
      <c r="AK29" s="1"/>
      <c r="AL29" s="1"/>
      <c r="AM29" s="291"/>
      <c r="AN29" s="1"/>
    </row>
    <row r="30" spans="1:40" ht="6.95" customHeight="1">
      <c r="F30" s="144"/>
      <c r="G30" s="124"/>
      <c r="J30" s="110"/>
      <c r="K30" s="124"/>
      <c r="L30" s="35"/>
      <c r="M30" s="3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473"/>
      <c r="AF30" s="474"/>
      <c r="AG30" s="11"/>
      <c r="AH30" s="11"/>
      <c r="AI30" s="11"/>
      <c r="AJ30" s="11"/>
      <c r="AK30" s="11"/>
      <c r="AL30" s="11"/>
      <c r="AM30" s="290"/>
      <c r="AN30" s="11"/>
    </row>
    <row r="31" spans="1:40" s="11" customFormat="1" ht="12.95" customHeight="1">
      <c r="A31" s="484">
        <v>9</v>
      </c>
      <c r="B31" s="484"/>
      <c r="C31" s="79"/>
      <c r="D31" s="80" t="s">
        <v>10</v>
      </c>
      <c r="E31" s="80"/>
      <c r="F31" s="140">
        <f>G31/$G$33</f>
        <v>8.5999999999999993E-2</v>
      </c>
      <c r="G31" s="156">
        <f>_9</f>
        <v>3000000</v>
      </c>
      <c r="H31" s="75"/>
      <c r="I31" s="2"/>
      <c r="J31" s="109">
        <v>0.1</v>
      </c>
      <c r="K31" s="156">
        <f>G31*J31</f>
        <v>300000</v>
      </c>
      <c r="L31" s="36"/>
      <c r="M31" s="9"/>
      <c r="N31" s="284"/>
      <c r="O31" s="28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473"/>
      <c r="AF31" s="474"/>
      <c r="AG31" s="1"/>
      <c r="AH31" s="1"/>
      <c r="AI31" s="1"/>
      <c r="AJ31" s="1"/>
      <c r="AK31" s="1"/>
      <c r="AL31" s="1"/>
      <c r="AM31" s="291"/>
      <c r="AN31" s="1"/>
    </row>
    <row r="32" spans="1:40" ht="12" customHeight="1">
      <c r="B32" s="13"/>
      <c r="C32" s="5"/>
      <c r="F32" s="33"/>
      <c r="J32" s="1"/>
      <c r="K32" s="1"/>
      <c r="L32" s="1"/>
      <c r="M32" s="16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473"/>
      <c r="AF32" s="474"/>
      <c r="AG32" s="11"/>
      <c r="AH32" s="11"/>
      <c r="AI32" s="11"/>
      <c r="AJ32" s="11"/>
      <c r="AK32" s="11"/>
      <c r="AL32" s="11"/>
      <c r="AM32" s="290"/>
      <c r="AN32" s="11"/>
    </row>
    <row r="33" spans="1:40" ht="12.95" customHeight="1">
      <c r="A33" s="117" t="s">
        <v>208</v>
      </c>
      <c r="B33" s="118"/>
      <c r="C33" s="118"/>
      <c r="D33" s="118"/>
      <c r="E33" s="65"/>
      <c r="F33" s="74">
        <f>SUM(F7:F31)</f>
        <v>1</v>
      </c>
      <c r="G33" s="94">
        <f>_EK</f>
        <v>34740000</v>
      </c>
      <c r="H33" s="66"/>
      <c r="I33" s="66"/>
      <c r="J33" s="193"/>
      <c r="K33" s="23"/>
      <c r="L33" s="23"/>
      <c r="M33" s="23"/>
      <c r="AE33" s="473"/>
      <c r="AF33" s="474"/>
      <c r="AM33" s="291"/>
    </row>
    <row r="34" spans="1:40" ht="6" customHeight="1">
      <c r="B34" s="255"/>
      <c r="F34" s="33"/>
      <c r="L34" s="1"/>
      <c r="M34" s="23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473"/>
      <c r="AF34" s="474"/>
      <c r="AG34" s="11"/>
      <c r="AH34" s="11"/>
      <c r="AI34" s="11"/>
      <c r="AJ34" s="11"/>
      <c r="AK34" s="11"/>
      <c r="AL34" s="11"/>
      <c r="AM34" s="290"/>
      <c r="AN34" s="11"/>
    </row>
    <row r="35" spans="1:40" s="10" customFormat="1" ht="12.95" customHeight="1">
      <c r="A35" s="484"/>
      <c r="B35" s="484"/>
      <c r="C35" s="79" t="s">
        <v>105</v>
      </c>
      <c r="D35" s="80"/>
      <c r="E35" s="228"/>
      <c r="F35" s="140"/>
      <c r="G35" s="462">
        <f>_mvB</f>
        <v>0</v>
      </c>
      <c r="H35" s="75"/>
      <c r="I35" s="2"/>
      <c r="J35" s="109">
        <v>1</v>
      </c>
      <c r="K35" s="156">
        <f>G35*J35</f>
        <v>0</v>
      </c>
      <c r="M35" s="23"/>
      <c r="N35" s="284"/>
      <c r="O35" s="28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473"/>
      <c r="AF35" s="474"/>
      <c r="AG35" s="1"/>
      <c r="AH35" s="1"/>
      <c r="AI35" s="1"/>
      <c r="AJ35" s="1"/>
      <c r="AK35" s="1"/>
      <c r="AL35" s="1"/>
      <c r="AM35" s="291"/>
      <c r="AN35" s="1"/>
    </row>
    <row r="36" spans="1:40" ht="6" customHeight="1">
      <c r="F36" s="33"/>
      <c r="M36" s="3"/>
      <c r="N36" s="286"/>
      <c r="O36" s="286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473"/>
      <c r="AF36" s="474"/>
      <c r="AG36" s="115"/>
      <c r="AH36" s="115"/>
      <c r="AI36" s="115"/>
      <c r="AJ36" s="115"/>
      <c r="AK36" s="115"/>
      <c r="AL36" s="115"/>
      <c r="AM36" s="292"/>
      <c r="AN36" s="115"/>
    </row>
    <row r="37" spans="1:40" s="14" customFormat="1" ht="12.95" customHeight="1">
      <c r="A37" s="209" t="s">
        <v>31</v>
      </c>
      <c r="B37" s="210"/>
      <c r="C37" s="210"/>
      <c r="D37" s="210"/>
      <c r="E37" s="220"/>
      <c r="F37" s="220"/>
      <c r="G37" s="220"/>
      <c r="H37" s="220"/>
      <c r="I37" s="220"/>
      <c r="J37" s="221"/>
      <c r="K37" s="222">
        <f>SUM(K7:K35)</f>
        <v>10560947</v>
      </c>
      <c r="L37" s="4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10"/>
      <c r="AF37" s="311"/>
      <c r="AG37" s="295"/>
      <c r="AH37" s="295"/>
      <c r="AI37" s="295"/>
      <c r="AJ37" s="295"/>
      <c r="AK37" s="295"/>
      <c r="AL37" s="295"/>
      <c r="AM37" s="296"/>
      <c r="AN37" s="1"/>
    </row>
    <row r="38" spans="1:40" s="16" customFormat="1" ht="12.95" customHeight="1">
      <c r="B38" s="17"/>
      <c r="C38" s="17"/>
      <c r="J38" s="170"/>
      <c r="K38" s="170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23"/>
      <c r="AH38" s="123"/>
      <c r="AI38" s="10"/>
      <c r="AJ38" s="10"/>
      <c r="AK38" s="10"/>
      <c r="AL38" s="10"/>
      <c r="AM38" s="10"/>
      <c r="AN38" s="10"/>
    </row>
    <row r="39" spans="1:40" ht="9" customHeight="1">
      <c r="B39" s="15"/>
      <c r="K39" s="256"/>
      <c r="M39" s="1"/>
      <c r="N39" s="1"/>
      <c r="O39" s="1"/>
      <c r="AG39" s="123"/>
      <c r="AH39" s="123"/>
    </row>
    <row r="40" spans="1:40" ht="6" customHeight="1">
      <c r="A40" s="173"/>
      <c r="B40" s="173"/>
      <c r="C40" s="173"/>
      <c r="D40" s="173"/>
      <c r="E40" s="173"/>
      <c r="F40" s="173"/>
      <c r="G40" s="173"/>
      <c r="H40" s="173"/>
      <c r="I40" s="173"/>
      <c r="K40" s="257"/>
      <c r="M40" s="3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23"/>
      <c r="AH40" s="123"/>
      <c r="AI40" s="116"/>
      <c r="AJ40" s="116"/>
      <c r="AK40" s="116"/>
      <c r="AL40" s="116"/>
      <c r="AM40" s="116"/>
      <c r="AN40" s="116"/>
    </row>
    <row r="41" spans="1:40" ht="12.75" customHeight="1">
      <c r="A41" s="171" t="s">
        <v>264</v>
      </c>
      <c r="B41" s="171"/>
      <c r="C41" s="171"/>
      <c r="D41" s="172"/>
      <c r="E41" s="172"/>
      <c r="F41" s="172"/>
      <c r="G41" s="172"/>
      <c r="H41" s="172"/>
      <c r="I41" s="172"/>
      <c r="J41" s="171"/>
      <c r="K41" s="258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6"/>
    </row>
    <row r="42" spans="1:40" ht="6.75" customHeight="1">
      <c r="A42" s="173"/>
      <c r="B42" s="173"/>
      <c r="C42" s="173"/>
      <c r="D42" s="173"/>
      <c r="E42" s="173"/>
      <c r="F42" s="173"/>
      <c r="G42" s="173"/>
      <c r="H42" s="173"/>
      <c r="I42" s="173"/>
      <c r="K42" s="257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40" ht="12.75" customHeight="1">
      <c r="A43" s="174" t="s">
        <v>64</v>
      </c>
      <c r="B43" s="173"/>
      <c r="C43" s="173"/>
      <c r="D43" s="173"/>
      <c r="E43" s="173"/>
      <c r="F43" s="173"/>
      <c r="G43" s="173"/>
      <c r="H43" s="173"/>
      <c r="I43" s="173"/>
      <c r="K43" s="257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40" ht="12.75" customHeight="1">
      <c r="A44" s="18"/>
      <c r="B44" s="18"/>
      <c r="C44" s="18"/>
      <c r="G44" s="175" t="s">
        <v>5</v>
      </c>
      <c r="H44" s="176" t="s">
        <v>4</v>
      </c>
      <c r="I44" s="176"/>
      <c r="J44" s="485" t="s">
        <v>238</v>
      </c>
      <c r="K44" s="485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</row>
    <row r="45" spans="1:40" ht="12.75" customHeight="1">
      <c r="B45" s="19" t="s">
        <v>45</v>
      </c>
      <c r="C45" s="43"/>
      <c r="D45" s="37"/>
      <c r="E45" s="37"/>
      <c r="F45" s="37"/>
      <c r="G45" s="370">
        <v>25</v>
      </c>
      <c r="H45" s="177" t="s">
        <v>57</v>
      </c>
      <c r="I45" s="176"/>
      <c r="J45" s="418"/>
      <c r="K45" s="419"/>
      <c r="L45" s="42"/>
      <c r="M45" s="478" t="s">
        <v>229</v>
      </c>
      <c r="N45" s="478" t="s">
        <v>131</v>
      </c>
      <c r="O45" s="478" t="s">
        <v>132</v>
      </c>
      <c r="P45" s="478" t="s">
        <v>166</v>
      </c>
      <c r="Q45" s="318"/>
      <c r="R45" s="478" t="s">
        <v>172</v>
      </c>
      <c r="S45" s="478" t="s">
        <v>173</v>
      </c>
      <c r="T45" s="478" t="s">
        <v>174</v>
      </c>
      <c r="U45" s="478" t="s">
        <v>133</v>
      </c>
      <c r="V45" s="478" t="s">
        <v>152</v>
      </c>
      <c r="W45" s="478" t="s">
        <v>153</v>
      </c>
      <c r="X45" s="478" t="s">
        <v>167</v>
      </c>
      <c r="Y45" s="478" t="s">
        <v>154</v>
      </c>
      <c r="Z45" s="478" t="s">
        <v>155</v>
      </c>
      <c r="AA45" s="478" t="s">
        <v>156</v>
      </c>
      <c r="AB45" s="478" t="s">
        <v>168</v>
      </c>
      <c r="AC45" s="478" t="s">
        <v>157</v>
      </c>
      <c r="AD45" s="478" t="s">
        <v>158</v>
      </c>
      <c r="AE45" s="478" t="s">
        <v>160</v>
      </c>
      <c r="AF45" s="478" t="s">
        <v>170</v>
      </c>
      <c r="AG45" s="478" t="s">
        <v>159</v>
      </c>
      <c r="AH45" s="478" t="s">
        <v>161</v>
      </c>
      <c r="AI45" s="478" t="s">
        <v>177</v>
      </c>
      <c r="AJ45" s="478" t="s">
        <v>163</v>
      </c>
      <c r="AK45" s="478" t="s">
        <v>164</v>
      </c>
      <c r="AL45" s="478" t="s">
        <v>169</v>
      </c>
      <c r="AM45" s="478" t="s">
        <v>165</v>
      </c>
    </row>
    <row r="46" spans="1:40" ht="12.75" customHeight="1">
      <c r="B46" s="20" t="s">
        <v>46</v>
      </c>
      <c r="C46" s="44"/>
      <c r="D46" s="38"/>
      <c r="E46" s="38"/>
      <c r="F46" s="38"/>
      <c r="G46" s="370">
        <v>1</v>
      </c>
      <c r="H46" s="178" t="s">
        <v>6</v>
      </c>
      <c r="I46" s="176"/>
      <c r="J46" s="420"/>
      <c r="K46" s="421"/>
      <c r="L46" s="42"/>
      <c r="M46" s="479"/>
      <c r="N46" s="479"/>
      <c r="O46" s="479"/>
      <c r="P46" s="479"/>
      <c r="Q46" s="31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</row>
    <row r="47" spans="1:40" ht="12.75" customHeight="1">
      <c r="B47" s="20" t="s">
        <v>47</v>
      </c>
      <c r="C47" s="44"/>
      <c r="D47" s="38"/>
      <c r="E47" s="38"/>
      <c r="F47" s="38"/>
      <c r="G47" s="370">
        <v>1</v>
      </c>
      <c r="H47" s="178" t="s">
        <v>6</v>
      </c>
      <c r="I47" s="176"/>
      <c r="J47" s="420"/>
      <c r="K47" s="421"/>
      <c r="L47" s="42"/>
      <c r="M47" s="479"/>
      <c r="N47" s="479"/>
      <c r="O47" s="479"/>
      <c r="P47" s="479"/>
      <c r="Q47" s="319"/>
      <c r="R47" s="47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79"/>
      <c r="AG47" s="479"/>
      <c r="AH47" s="479"/>
      <c r="AI47" s="479"/>
      <c r="AJ47" s="479"/>
      <c r="AK47" s="479"/>
      <c r="AL47" s="479"/>
      <c r="AM47" s="479"/>
    </row>
    <row r="48" spans="1:40" ht="12.75" customHeight="1">
      <c r="B48" s="20" t="s">
        <v>48</v>
      </c>
      <c r="C48" s="38"/>
      <c r="D48" s="38"/>
      <c r="E48" s="38"/>
      <c r="F48" s="38"/>
      <c r="G48" s="370">
        <v>1</v>
      </c>
      <c r="H48" s="178" t="s">
        <v>6</v>
      </c>
      <c r="I48" s="176"/>
      <c r="J48" s="420"/>
      <c r="K48" s="421"/>
      <c r="L48" s="42"/>
      <c r="M48" s="479"/>
      <c r="N48" s="479"/>
      <c r="O48" s="479"/>
      <c r="P48" s="479"/>
      <c r="Q48" s="319"/>
      <c r="R48" s="47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9"/>
      <c r="AK48" s="479"/>
      <c r="AL48" s="479"/>
      <c r="AM48" s="479"/>
    </row>
    <row r="49" spans="1:39" ht="4.5" customHeight="1">
      <c r="A49" s="18"/>
      <c r="B49" s="18"/>
      <c r="C49" s="18"/>
      <c r="G49" s="179"/>
      <c r="H49" s="179"/>
      <c r="I49" s="179"/>
      <c r="K49" s="251"/>
      <c r="L49" s="42"/>
      <c r="M49" s="479"/>
      <c r="N49" s="479"/>
      <c r="O49" s="479"/>
      <c r="P49" s="479"/>
      <c r="Q49" s="31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  <c r="AM49" s="479"/>
    </row>
    <row r="50" spans="1:39" ht="12.6" customHeight="1">
      <c r="B50" s="371"/>
      <c r="C50" s="372" t="s">
        <v>189</v>
      </c>
      <c r="D50" s="38"/>
      <c r="E50" s="38"/>
      <c r="F50" s="38"/>
      <c r="G50" s="400">
        <v>0</v>
      </c>
      <c r="H50" s="178" t="s">
        <v>239</v>
      </c>
      <c r="I50" s="176"/>
      <c r="J50" s="423"/>
      <c r="K50" s="424"/>
      <c r="L50" s="1"/>
      <c r="M50" s="479"/>
      <c r="N50" s="479"/>
      <c r="O50" s="479"/>
      <c r="P50" s="479"/>
      <c r="Q50" s="31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79"/>
      <c r="AI50" s="479"/>
      <c r="AJ50" s="479"/>
      <c r="AK50" s="479"/>
      <c r="AL50" s="479"/>
      <c r="AM50" s="479"/>
    </row>
    <row r="51" spans="1:39" ht="12.6" customHeight="1">
      <c r="B51" s="371"/>
      <c r="C51" s="372" t="s">
        <v>190</v>
      </c>
      <c r="D51" s="38"/>
      <c r="E51" s="38"/>
      <c r="F51" s="38"/>
      <c r="G51" s="369">
        <v>1</v>
      </c>
      <c r="H51" s="178" t="s">
        <v>239</v>
      </c>
      <c r="I51" s="176"/>
      <c r="J51" s="420"/>
      <c r="K51" s="425"/>
      <c r="L51" s="1"/>
      <c r="M51" s="479"/>
      <c r="N51" s="479"/>
      <c r="O51" s="479"/>
      <c r="P51" s="479"/>
      <c r="Q51" s="31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</row>
    <row r="52" spans="1:39" ht="12.6" customHeight="1">
      <c r="B52" s="371"/>
      <c r="C52" s="372" t="s">
        <v>191</v>
      </c>
      <c r="D52" s="38"/>
      <c r="E52" s="38"/>
      <c r="F52" s="38"/>
      <c r="G52" s="369">
        <v>1</v>
      </c>
      <c r="H52" s="178" t="s">
        <v>236</v>
      </c>
      <c r="I52" s="176"/>
      <c r="J52" s="420"/>
      <c r="K52" s="425"/>
      <c r="L52" s="1"/>
      <c r="M52" s="479"/>
      <c r="N52" s="479"/>
      <c r="O52" s="479"/>
      <c r="P52" s="479"/>
      <c r="Q52" s="31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79"/>
      <c r="AM52" s="479"/>
    </row>
    <row r="53" spans="1:39" ht="12.6" customHeight="1">
      <c r="B53" s="371"/>
      <c r="C53" s="372" t="s">
        <v>192</v>
      </c>
      <c r="D53" s="38"/>
      <c r="E53" s="38"/>
      <c r="F53" s="38"/>
      <c r="G53" s="369">
        <v>0</v>
      </c>
      <c r="H53" s="178" t="s">
        <v>235</v>
      </c>
      <c r="I53" s="176"/>
      <c r="J53" s="418"/>
      <c r="K53" s="426"/>
      <c r="L53" s="1"/>
      <c r="M53" s="479"/>
      <c r="N53" s="479"/>
      <c r="O53" s="479"/>
      <c r="P53" s="479"/>
      <c r="Q53" s="31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479"/>
      <c r="AK53" s="479"/>
      <c r="AL53" s="479"/>
      <c r="AM53" s="479"/>
    </row>
    <row r="54" spans="1:39" ht="4.5" customHeight="1">
      <c r="A54" s="18"/>
      <c r="B54" s="18"/>
      <c r="C54" s="1"/>
      <c r="D54" s="181"/>
      <c r="E54" s="181"/>
      <c r="F54" s="181"/>
      <c r="G54" s="181"/>
      <c r="H54" s="181"/>
      <c r="I54" s="181"/>
      <c r="K54" s="251"/>
      <c r="L54" s="1"/>
      <c r="M54" s="479"/>
      <c r="N54" s="479"/>
      <c r="O54" s="479"/>
      <c r="P54" s="479"/>
      <c r="Q54" s="31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79"/>
      <c r="AM54" s="479"/>
    </row>
    <row r="55" spans="1:39" ht="12.75" customHeight="1">
      <c r="B55" s="18" t="s">
        <v>44</v>
      </c>
      <c r="C55" s="1"/>
      <c r="D55" s="180"/>
      <c r="E55" s="181"/>
      <c r="F55" s="181"/>
      <c r="G55" s="182">
        <f>SUM(G45:G53)</f>
        <v>30</v>
      </c>
      <c r="H55" s="181"/>
      <c r="I55" s="181"/>
      <c r="K55" s="251"/>
      <c r="L55" s="1"/>
      <c r="M55" s="479"/>
      <c r="N55" s="479"/>
      <c r="O55" s="479"/>
      <c r="P55" s="479"/>
      <c r="Q55" s="31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</row>
    <row r="56" spans="1:39" ht="12.95" customHeight="1">
      <c r="B56" s="18"/>
      <c r="C56" s="1"/>
      <c r="D56" s="181"/>
      <c r="E56" s="181"/>
      <c r="F56" s="181"/>
      <c r="G56" s="181"/>
      <c r="H56" s="181"/>
      <c r="I56" s="181"/>
      <c r="K56" s="251"/>
      <c r="L56" s="1"/>
      <c r="M56" s="479"/>
      <c r="N56" s="479"/>
      <c r="O56" s="479"/>
      <c r="P56" s="479"/>
      <c r="Q56" s="31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</row>
    <row r="57" spans="1:39" ht="12.95" customHeight="1">
      <c r="A57" s="174" t="s">
        <v>14</v>
      </c>
      <c r="B57" s="174"/>
      <c r="C57" s="173"/>
      <c r="D57" s="173"/>
      <c r="E57" s="173"/>
      <c r="F57" s="173"/>
      <c r="G57" s="173"/>
      <c r="H57" s="173"/>
      <c r="I57" s="173"/>
      <c r="J57" s="259"/>
      <c r="K57" s="1"/>
      <c r="M57" s="479"/>
      <c r="N57" s="479"/>
      <c r="O57" s="479"/>
      <c r="P57" s="479"/>
      <c r="Q57" s="31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79"/>
      <c r="AK57" s="479"/>
      <c r="AL57" s="479"/>
      <c r="AM57" s="479"/>
    </row>
    <row r="58" spans="1:39" ht="4.5" customHeight="1">
      <c r="A58" s="174"/>
      <c r="B58" s="174"/>
      <c r="C58" s="174"/>
      <c r="D58" s="174"/>
      <c r="K58" s="1"/>
      <c r="M58" s="479"/>
      <c r="N58" s="479"/>
      <c r="O58" s="479"/>
      <c r="P58" s="479"/>
      <c r="Q58" s="31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  <c r="AM58" s="479"/>
    </row>
    <row r="59" spans="1:39" ht="12.75" customHeight="1">
      <c r="A59" s="183" t="s">
        <v>11</v>
      </c>
      <c r="B59" s="183"/>
      <c r="C59" s="1"/>
      <c r="G59" s="213">
        <f>K37</f>
        <v>10560947</v>
      </c>
      <c r="K59" s="1"/>
      <c r="M59" s="479"/>
      <c r="N59" s="479"/>
      <c r="O59" s="479"/>
      <c r="P59" s="479"/>
      <c r="Q59" s="31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  <c r="AM59" s="479"/>
    </row>
    <row r="60" spans="1:39" ht="8.1" customHeight="1">
      <c r="A60" s="18"/>
      <c r="B60" s="18"/>
      <c r="C60" s="18"/>
      <c r="D60" s="18"/>
      <c r="E60" s="18"/>
      <c r="F60" s="18"/>
      <c r="G60" s="180"/>
      <c r="K60"/>
      <c r="M60" s="479"/>
      <c r="N60" s="479"/>
      <c r="O60" s="479"/>
      <c r="P60" s="479"/>
      <c r="Q60" s="31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  <c r="AM60" s="479"/>
    </row>
    <row r="61" spans="1:39" ht="12.75" customHeight="1">
      <c r="A61" s="18" t="s">
        <v>58</v>
      </c>
      <c r="B61" s="18"/>
      <c r="C61" s="18"/>
      <c r="G61" s="104">
        <f>0.0425*G55+0.83</f>
        <v>2.11</v>
      </c>
      <c r="H61" s="122"/>
      <c r="I61" s="122"/>
      <c r="K61"/>
      <c r="M61" s="479"/>
      <c r="N61" s="479"/>
      <c r="O61" s="479"/>
      <c r="P61" s="479"/>
      <c r="Q61" s="31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  <c r="AM61" s="479"/>
    </row>
    <row r="62" spans="1:39" ht="4.5" customHeight="1">
      <c r="A62" s="18"/>
      <c r="B62" s="18"/>
      <c r="C62" s="18"/>
      <c r="G62" s="29"/>
      <c r="H62" s="122"/>
      <c r="I62" s="122"/>
      <c r="K62"/>
      <c r="M62" s="479"/>
      <c r="N62" s="479"/>
      <c r="O62" s="479"/>
      <c r="P62" s="479"/>
      <c r="Q62" s="31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</row>
    <row r="63" spans="1:39" ht="12.75" customHeight="1">
      <c r="A63" s="18" t="s">
        <v>59</v>
      </c>
      <c r="B63" s="18"/>
      <c r="C63" s="18"/>
      <c r="G63" s="245">
        <f>ROUND(37.056*G59^(-0.1495)*G61/100,6)</f>
        <v>6.9678000000000004E-2</v>
      </c>
      <c r="H63" s="225"/>
      <c r="I63" s="225"/>
      <c r="K63"/>
      <c r="M63" s="479"/>
      <c r="N63" s="479"/>
      <c r="O63" s="479"/>
      <c r="P63" s="479"/>
      <c r="Q63" s="31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79"/>
      <c r="AL63" s="479"/>
      <c r="AM63" s="479"/>
    </row>
    <row r="64" spans="1:39" ht="12.75" customHeight="1">
      <c r="A64" s="18" t="s">
        <v>107</v>
      </c>
      <c r="B64" s="18"/>
      <c r="C64" s="18"/>
      <c r="G64" s="375">
        <v>0</v>
      </c>
      <c r="H64" s="225"/>
      <c r="I64" s="225"/>
      <c r="K64"/>
      <c r="M64" s="479"/>
      <c r="N64" s="479"/>
      <c r="O64" s="479"/>
      <c r="P64" s="479"/>
      <c r="Q64" s="319"/>
      <c r="R64" s="479"/>
      <c r="S64" s="479"/>
      <c r="T64" s="479"/>
      <c r="U64" s="479"/>
      <c r="V64" s="479"/>
      <c r="W64" s="479"/>
      <c r="X64" s="479"/>
      <c r="Y64" s="479"/>
      <c r="Z64" s="479"/>
      <c r="AA64" s="479"/>
      <c r="AB64" s="479"/>
      <c r="AC64" s="479"/>
      <c r="AD64" s="479"/>
      <c r="AE64" s="479"/>
      <c r="AF64" s="479"/>
      <c r="AG64" s="479"/>
      <c r="AH64" s="479"/>
      <c r="AI64" s="479"/>
      <c r="AJ64" s="479"/>
      <c r="AK64" s="479"/>
      <c r="AL64" s="479"/>
      <c r="AM64" s="479"/>
    </row>
    <row r="65" spans="1:39" ht="8.1" customHeight="1">
      <c r="A65" s="18"/>
      <c r="B65" s="18"/>
      <c r="C65" s="18"/>
      <c r="G65" s="184"/>
      <c r="K65"/>
      <c r="M65" s="479"/>
      <c r="N65" s="479"/>
      <c r="O65" s="479"/>
      <c r="P65" s="479"/>
      <c r="Q65" s="319"/>
      <c r="R65" s="479"/>
      <c r="S65" s="479"/>
      <c r="T65" s="479"/>
      <c r="U65" s="479"/>
      <c r="V65" s="479"/>
      <c r="W65" s="479"/>
      <c r="X65" s="479"/>
      <c r="Y65" s="479"/>
      <c r="Z65" s="479"/>
      <c r="AA65" s="479"/>
      <c r="AB65" s="479"/>
      <c r="AC65" s="479"/>
      <c r="AD65" s="479"/>
      <c r="AE65" s="479"/>
      <c r="AF65" s="479"/>
      <c r="AG65" s="479"/>
      <c r="AH65" s="479"/>
      <c r="AI65" s="479"/>
      <c r="AJ65" s="479"/>
      <c r="AK65" s="479"/>
      <c r="AL65" s="479"/>
      <c r="AM65" s="479"/>
    </row>
    <row r="66" spans="1:39" ht="15" customHeight="1">
      <c r="A66" s="21" t="s">
        <v>108</v>
      </c>
      <c r="B66" s="19"/>
      <c r="C66" s="19"/>
      <c r="D66" s="185"/>
      <c r="E66" s="185"/>
      <c r="F66" s="185"/>
      <c r="G66" s="186"/>
      <c r="H66" s="262">
        <f>ROUND(G59*G63*(1+G64),2)</f>
        <v>735866</v>
      </c>
      <c r="I66" s="262"/>
      <c r="J66" s="48"/>
      <c r="K66" s="1"/>
      <c r="M66" s="334"/>
      <c r="N66" s="334"/>
      <c r="O66" s="334"/>
      <c r="P66" s="334"/>
      <c r="Q66" s="319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4"/>
      <c r="AL66" s="334"/>
      <c r="AM66" s="334"/>
    </row>
    <row r="67" spans="1:39" ht="9" customHeight="1">
      <c r="A67" s="24"/>
      <c r="B67" s="18"/>
      <c r="C67" s="18"/>
      <c r="D67" s="173"/>
      <c r="E67" s="173"/>
      <c r="F67" s="173"/>
      <c r="G67" s="187"/>
      <c r="H67" s="250"/>
      <c r="I67" s="250"/>
      <c r="K67" s="1"/>
      <c r="M67" s="491" t="s">
        <v>147</v>
      </c>
      <c r="N67" s="489"/>
      <c r="O67" s="489"/>
      <c r="P67" s="489" t="s">
        <v>209</v>
      </c>
      <c r="Q67" s="337"/>
      <c r="R67" s="489"/>
      <c r="S67" s="489"/>
      <c r="T67" s="489" t="s">
        <v>209</v>
      </c>
      <c r="U67" s="489"/>
      <c r="V67" s="489"/>
      <c r="W67" s="489"/>
      <c r="X67" s="489"/>
      <c r="Y67" s="489"/>
      <c r="Z67" s="489"/>
      <c r="AA67" s="489"/>
      <c r="AB67" s="489"/>
      <c r="AC67" s="489"/>
      <c r="AD67" s="489" t="s">
        <v>209</v>
      </c>
      <c r="AE67" s="489"/>
      <c r="AF67" s="489"/>
      <c r="AG67" s="489"/>
      <c r="AH67" s="489"/>
      <c r="AI67" s="489"/>
      <c r="AJ67" s="489"/>
      <c r="AK67" s="489"/>
      <c r="AL67" s="489"/>
      <c r="AM67" s="489"/>
    </row>
    <row r="68" spans="1:39" ht="12.95" customHeight="1">
      <c r="A68" s="24"/>
      <c r="B68" s="18"/>
      <c r="C68" s="18"/>
      <c r="D68" s="173"/>
      <c r="E68" s="283" t="s">
        <v>130</v>
      </c>
      <c r="F68" s="301" t="s">
        <v>134</v>
      </c>
      <c r="G68" s="175" t="s">
        <v>5</v>
      </c>
      <c r="H68" s="187"/>
      <c r="I68" s="187"/>
      <c r="K68" s="30"/>
      <c r="M68" s="493"/>
      <c r="N68" s="490"/>
      <c r="O68" s="490"/>
      <c r="P68" s="490"/>
      <c r="Q68" s="32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490"/>
      <c r="AK68" s="490"/>
      <c r="AL68" s="490"/>
      <c r="AM68" s="490"/>
    </row>
    <row r="69" spans="1:39" ht="12.75" customHeight="1">
      <c r="A69" s="173" t="s">
        <v>78</v>
      </c>
      <c r="B69" s="173"/>
      <c r="C69" s="188"/>
      <c r="E69" s="281">
        <v>0.02</v>
      </c>
      <c r="F69" s="302">
        <f>E69+M69</f>
        <v>2.5000000000000001E-2</v>
      </c>
      <c r="G69" s="331">
        <f>F69</f>
        <v>2.5000000000000001E-2</v>
      </c>
      <c r="H69" s="336">
        <f>IF($H$66=0,"-",$H$66*G69)</f>
        <v>18397</v>
      </c>
      <c r="I69" s="336"/>
      <c r="J69" s="326"/>
      <c r="K69" s="327"/>
      <c r="L69" s="328"/>
      <c r="M69" s="329">
        <f>SUMIF($N$67:$AM$67,"*",N69:AM69)</f>
        <v>5.0000000000000001E-3</v>
      </c>
      <c r="N69" s="399"/>
      <c r="O69" s="399"/>
      <c r="P69" s="399"/>
      <c r="Q69" s="330"/>
      <c r="R69" s="399"/>
      <c r="S69" s="399"/>
      <c r="T69" s="399">
        <v>5.0000000000000001E-3</v>
      </c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</row>
    <row r="70" spans="1:39" ht="12.75" customHeight="1">
      <c r="A70" s="173" t="s">
        <v>34</v>
      </c>
      <c r="B70" s="173"/>
      <c r="C70" s="188"/>
      <c r="E70" s="281">
        <v>0.1</v>
      </c>
      <c r="F70" s="302">
        <f t="shared" ref="F70:F78" si="1">E70+M70</f>
        <v>0.113</v>
      </c>
      <c r="G70" s="331">
        <f t="shared" ref="G70:G78" si="2">F70</f>
        <v>0.113</v>
      </c>
      <c r="H70" s="336">
        <f t="shared" ref="H70:H78" si="3">IF($H$66=0,"-",$H$66*G70)</f>
        <v>83153</v>
      </c>
      <c r="I70" s="336"/>
      <c r="J70" s="326"/>
      <c r="K70" s="327"/>
      <c r="L70" s="328"/>
      <c r="M70" s="329">
        <f>SUMIF($N$67:$AM$67,"*",N70:AM70)</f>
        <v>1.2999999999999999E-2</v>
      </c>
      <c r="N70" s="399"/>
      <c r="O70" s="399"/>
      <c r="P70" s="399">
        <v>8.0000000000000002E-3</v>
      </c>
      <c r="Q70" s="330"/>
      <c r="R70" s="399"/>
      <c r="S70" s="399"/>
      <c r="T70" s="399">
        <v>5.0000000000000001E-3</v>
      </c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</row>
    <row r="71" spans="1:39" ht="12.75" customHeight="1">
      <c r="A71" s="173" t="s">
        <v>35</v>
      </c>
      <c r="B71" s="173"/>
      <c r="C71" s="188"/>
      <c r="E71" s="281">
        <v>0.15</v>
      </c>
      <c r="F71" s="302">
        <f t="shared" si="1"/>
        <v>0.18679999999999999</v>
      </c>
      <c r="G71" s="331">
        <f t="shared" si="2"/>
        <v>0.18679999999999999</v>
      </c>
      <c r="H71" s="336">
        <f t="shared" si="3"/>
        <v>137460</v>
      </c>
      <c r="I71" s="336"/>
      <c r="J71" s="326"/>
      <c r="K71" s="327"/>
      <c r="L71" s="328"/>
      <c r="M71" s="329">
        <f t="shared" ref="M71:M78" si="4">SUMIF($N$67:$AM$67,"*",N71:AM71)</f>
        <v>3.6799999999999999E-2</v>
      </c>
      <c r="N71" s="399"/>
      <c r="O71" s="399"/>
      <c r="P71" s="399">
        <v>2.58E-2</v>
      </c>
      <c r="Q71" s="330"/>
      <c r="R71" s="399"/>
      <c r="S71" s="399"/>
      <c r="T71" s="399">
        <v>1.0999999999999999E-2</v>
      </c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</row>
    <row r="72" spans="1:39" ht="12.75" customHeight="1">
      <c r="A72" s="173" t="s">
        <v>36</v>
      </c>
      <c r="B72" s="173"/>
      <c r="C72" s="188"/>
      <c r="E72" s="281">
        <v>0.25</v>
      </c>
      <c r="F72" s="302">
        <f t="shared" si="1"/>
        <v>0.26200000000000001</v>
      </c>
      <c r="G72" s="331">
        <f t="shared" si="2"/>
        <v>0.26200000000000001</v>
      </c>
      <c r="H72" s="336">
        <f t="shared" si="3"/>
        <v>192797</v>
      </c>
      <c r="I72" s="336"/>
      <c r="J72" s="326"/>
      <c r="K72" s="327"/>
      <c r="L72" s="328"/>
      <c r="M72" s="329">
        <f t="shared" si="4"/>
        <v>1.2E-2</v>
      </c>
      <c r="N72" s="399"/>
      <c r="O72" s="399"/>
      <c r="P72" s="399">
        <v>7.0000000000000001E-3</v>
      </c>
      <c r="Q72" s="330"/>
      <c r="R72" s="399"/>
      <c r="S72" s="399"/>
      <c r="T72" s="399">
        <v>5.0000000000000001E-3</v>
      </c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</row>
    <row r="73" spans="1:39" ht="12.75" customHeight="1">
      <c r="A73" s="173" t="s">
        <v>79</v>
      </c>
      <c r="B73" s="173"/>
      <c r="C73" s="188"/>
      <c r="E73" s="281">
        <v>0.32</v>
      </c>
      <c r="F73" s="302">
        <f t="shared" si="1"/>
        <v>0.33600000000000002</v>
      </c>
      <c r="G73" s="331">
        <f t="shared" si="2"/>
        <v>0.33600000000000002</v>
      </c>
      <c r="H73" s="336">
        <f t="shared" si="3"/>
        <v>247251</v>
      </c>
      <c r="I73" s="336"/>
      <c r="J73" s="326"/>
      <c r="K73" s="327"/>
      <c r="L73" s="328"/>
      <c r="M73" s="329">
        <f t="shared" si="4"/>
        <v>1.6E-2</v>
      </c>
      <c r="N73" s="399"/>
      <c r="O73" s="399"/>
      <c r="P73" s="399"/>
      <c r="Q73" s="330"/>
      <c r="R73" s="399"/>
      <c r="S73" s="399"/>
      <c r="T73" s="399">
        <v>8.0000000000000002E-3</v>
      </c>
      <c r="U73" s="399"/>
      <c r="V73" s="399"/>
      <c r="W73" s="399"/>
      <c r="X73" s="399"/>
      <c r="Y73" s="399"/>
      <c r="Z73" s="399"/>
      <c r="AA73" s="399"/>
      <c r="AB73" s="399"/>
      <c r="AC73" s="399"/>
      <c r="AD73" s="399">
        <v>8.0000000000000002E-3</v>
      </c>
      <c r="AE73" s="399"/>
      <c r="AF73" s="399"/>
      <c r="AG73" s="399"/>
      <c r="AH73" s="399"/>
      <c r="AI73" s="399"/>
      <c r="AJ73" s="399"/>
      <c r="AK73" s="399"/>
      <c r="AL73" s="399"/>
      <c r="AM73" s="399"/>
    </row>
    <row r="74" spans="1:39" ht="12.75" customHeight="1">
      <c r="A74" s="173" t="s">
        <v>80</v>
      </c>
      <c r="B74" s="173"/>
      <c r="C74" s="188"/>
      <c r="E74" s="281">
        <v>0.02</v>
      </c>
      <c r="F74" s="302">
        <f t="shared" si="1"/>
        <v>0.02</v>
      </c>
      <c r="G74" s="331">
        <f t="shared" si="2"/>
        <v>0.02</v>
      </c>
      <c r="H74" s="336">
        <f t="shared" si="3"/>
        <v>14717</v>
      </c>
      <c r="I74" s="336"/>
      <c r="J74" s="326"/>
      <c r="K74" s="327"/>
      <c r="L74" s="328"/>
      <c r="M74" s="329">
        <f t="shared" si="4"/>
        <v>0</v>
      </c>
      <c r="N74" s="399"/>
      <c r="O74" s="399"/>
      <c r="P74" s="399"/>
      <c r="Q74" s="330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</row>
    <row r="75" spans="1:39" ht="12.75" customHeight="1">
      <c r="A75" s="173" t="s">
        <v>39</v>
      </c>
      <c r="B75" s="173"/>
      <c r="C75" s="188"/>
      <c r="E75" s="281">
        <v>0</v>
      </c>
      <c r="F75" s="302">
        <f t="shared" si="1"/>
        <v>0</v>
      </c>
      <c r="G75" s="331">
        <f t="shared" si="2"/>
        <v>0</v>
      </c>
      <c r="H75" s="336">
        <f t="shared" si="3"/>
        <v>0</v>
      </c>
      <c r="I75" s="336"/>
      <c r="J75" s="326"/>
      <c r="K75" s="327"/>
      <c r="L75" s="328"/>
      <c r="M75" s="329">
        <f t="shared" si="4"/>
        <v>0</v>
      </c>
      <c r="N75" s="399"/>
      <c r="O75" s="399"/>
      <c r="P75" s="399"/>
      <c r="Q75" s="330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</row>
    <row r="76" spans="1:39" ht="12.75" customHeight="1">
      <c r="A76" s="173" t="s">
        <v>83</v>
      </c>
      <c r="B76" s="173"/>
      <c r="C76" s="188"/>
      <c r="E76" s="281">
        <v>0.05</v>
      </c>
      <c r="F76" s="302">
        <f t="shared" si="1"/>
        <v>0.05</v>
      </c>
      <c r="G76" s="331">
        <f t="shared" si="2"/>
        <v>0.05</v>
      </c>
      <c r="H76" s="336">
        <f t="shared" si="3"/>
        <v>36793</v>
      </c>
      <c r="I76" s="336"/>
      <c r="J76" s="326"/>
      <c r="K76" s="327"/>
      <c r="L76" s="328"/>
      <c r="M76" s="329">
        <f t="shared" si="4"/>
        <v>0</v>
      </c>
      <c r="N76" s="399"/>
      <c r="O76" s="399"/>
      <c r="P76" s="399"/>
      <c r="Q76" s="330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</row>
    <row r="77" spans="1:39" ht="12.75" customHeight="1">
      <c r="A77" s="173" t="s">
        <v>81</v>
      </c>
      <c r="B77" s="173"/>
      <c r="C77" s="188"/>
      <c r="E77" s="281">
        <v>0.09</v>
      </c>
      <c r="F77" s="302">
        <f t="shared" si="1"/>
        <v>0.09</v>
      </c>
      <c r="G77" s="331">
        <f t="shared" si="2"/>
        <v>0.09</v>
      </c>
      <c r="H77" s="336">
        <f t="shared" si="3"/>
        <v>66228</v>
      </c>
      <c r="I77" s="336"/>
      <c r="J77" s="326"/>
      <c r="K77" s="327"/>
      <c r="L77" s="328"/>
      <c r="M77" s="329">
        <f t="shared" si="4"/>
        <v>0</v>
      </c>
      <c r="N77" s="399"/>
      <c r="O77" s="399"/>
      <c r="P77" s="399"/>
      <c r="Q77" s="330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</row>
    <row r="78" spans="1:39" ht="12.75" customHeight="1">
      <c r="A78" s="185" t="s">
        <v>82</v>
      </c>
      <c r="B78" s="185"/>
      <c r="C78" s="189"/>
      <c r="D78" s="37"/>
      <c r="E78" s="282">
        <v>0</v>
      </c>
      <c r="F78" s="303">
        <f t="shared" si="1"/>
        <v>0</v>
      </c>
      <c r="G78" s="331">
        <f t="shared" si="2"/>
        <v>0</v>
      </c>
      <c r="H78" s="336">
        <f t="shared" si="3"/>
        <v>0</v>
      </c>
      <c r="I78" s="336"/>
      <c r="J78" s="326"/>
      <c r="K78" s="327"/>
      <c r="L78" s="328"/>
      <c r="M78" s="329">
        <f t="shared" si="4"/>
        <v>0</v>
      </c>
      <c r="N78" s="399"/>
      <c r="O78" s="399"/>
      <c r="P78" s="399"/>
      <c r="Q78" s="330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</row>
    <row r="79" spans="1:39" ht="12.75" customHeight="1">
      <c r="A79" s="190" t="s">
        <v>43</v>
      </c>
      <c r="B79" s="173"/>
      <c r="C79" s="18"/>
      <c r="E79" s="341">
        <f>SUM(E69:E78)</f>
        <v>1</v>
      </c>
      <c r="F79" s="302">
        <f>SUM(F69:F78)</f>
        <v>1.0828</v>
      </c>
      <c r="G79" s="191">
        <f>SUM(G69:G78)</f>
        <v>1.0828</v>
      </c>
      <c r="H79" s="194">
        <f>SUM(H69:H78)</f>
        <v>796796</v>
      </c>
      <c r="I79" s="194"/>
      <c r="K79" s="103">
        <f>H79</f>
        <v>796796</v>
      </c>
      <c r="M79" s="338">
        <f>SUM(M69:M78)</f>
        <v>8.2799999999999999E-2</v>
      </c>
      <c r="N79" s="338">
        <f t="shared" ref="N79:AF79" si="5">SUM(N69:N78)</f>
        <v>0</v>
      </c>
      <c r="O79" s="338">
        <f t="shared" si="5"/>
        <v>0</v>
      </c>
      <c r="P79" s="338">
        <f t="shared" si="5"/>
        <v>4.0800000000000003E-2</v>
      </c>
      <c r="Q79" s="339"/>
      <c r="R79" s="338">
        <f t="shared" si="5"/>
        <v>0</v>
      </c>
      <c r="S79" s="338">
        <f>SUM(S69:S78)</f>
        <v>0</v>
      </c>
      <c r="T79" s="338">
        <f>SUM(T69:T78)</f>
        <v>3.4000000000000002E-2</v>
      </c>
      <c r="U79" s="338">
        <f t="shared" si="5"/>
        <v>0</v>
      </c>
      <c r="V79" s="338">
        <f>SUM(V69:V78)</f>
        <v>0</v>
      </c>
      <c r="W79" s="338">
        <f t="shared" si="5"/>
        <v>0</v>
      </c>
      <c r="X79" s="338">
        <f t="shared" si="5"/>
        <v>0</v>
      </c>
      <c r="Y79" s="338">
        <f t="shared" si="5"/>
        <v>0</v>
      </c>
      <c r="Z79" s="338">
        <f t="shared" si="5"/>
        <v>0</v>
      </c>
      <c r="AA79" s="338">
        <f t="shared" si="5"/>
        <v>0</v>
      </c>
      <c r="AB79" s="338">
        <f t="shared" si="5"/>
        <v>0</v>
      </c>
      <c r="AC79" s="338">
        <f t="shared" si="5"/>
        <v>0</v>
      </c>
      <c r="AD79" s="338">
        <f t="shared" si="5"/>
        <v>8.0000000000000002E-3</v>
      </c>
      <c r="AE79" s="338">
        <f t="shared" si="5"/>
        <v>0</v>
      </c>
      <c r="AF79" s="338">
        <f t="shared" si="5"/>
        <v>0</v>
      </c>
      <c r="AG79" s="338">
        <f t="shared" ref="AG79:AM79" si="6">SUM(AG69:AG78)</f>
        <v>0</v>
      </c>
      <c r="AH79" s="338">
        <f t="shared" si="6"/>
        <v>0</v>
      </c>
      <c r="AI79" s="338">
        <f t="shared" si="6"/>
        <v>0</v>
      </c>
      <c r="AJ79" s="338">
        <f t="shared" si="6"/>
        <v>0</v>
      </c>
      <c r="AK79" s="338">
        <f t="shared" si="6"/>
        <v>0</v>
      </c>
      <c r="AL79" s="338">
        <f t="shared" si="6"/>
        <v>0</v>
      </c>
      <c r="AM79" s="338">
        <f t="shared" si="6"/>
        <v>0</v>
      </c>
    </row>
    <row r="80" spans="1:39" ht="12.75" customHeight="1">
      <c r="G80" s="113"/>
      <c r="K80"/>
    </row>
    <row r="81" spans="1:43" ht="12.75" customHeight="1">
      <c r="A81" s="18" t="s">
        <v>230</v>
      </c>
      <c r="B81" s="188"/>
      <c r="C81"/>
      <c r="D81" s="188"/>
      <c r="E81" s="412">
        <v>0.01</v>
      </c>
      <c r="G81" s="449">
        <v>0.01</v>
      </c>
      <c r="H81" s="257">
        <f>$H$66*G81</f>
        <v>7359</v>
      </c>
      <c r="K81"/>
    </row>
    <row r="82" spans="1:43" ht="12.75" customHeight="1">
      <c r="A82" s="19" t="s">
        <v>253</v>
      </c>
      <c r="B82" s="383"/>
      <c r="C82" s="383"/>
      <c r="D82" s="383"/>
      <c r="E82" s="389">
        <v>0.02</v>
      </c>
      <c r="F82" s="383"/>
      <c r="G82" s="390">
        <v>0</v>
      </c>
      <c r="H82" s="383">
        <f>$H$66*G82</f>
        <v>0</v>
      </c>
      <c r="K82"/>
    </row>
    <row r="83" spans="1:43" ht="12.75" customHeight="1">
      <c r="A83" s="454" t="s">
        <v>254</v>
      </c>
      <c r="B83" s="455"/>
      <c r="C83" s="455"/>
      <c r="E83" s="456">
        <f>SUM(E79:E82)</f>
        <v>1.03</v>
      </c>
      <c r="G83" s="191">
        <f>G79+G81+G82</f>
        <v>1.0928</v>
      </c>
      <c r="H83" s="415">
        <f>H79+SUM(H81:H82)</f>
        <v>804155</v>
      </c>
      <c r="K83"/>
    </row>
    <row r="84" spans="1:43" ht="12.75" customHeight="1">
      <c r="G84" s="113"/>
      <c r="K84"/>
    </row>
    <row r="85" spans="1:43" ht="12.75" customHeight="1">
      <c r="A85" s="34" t="s">
        <v>102</v>
      </c>
      <c r="G85" s="243">
        <v>0</v>
      </c>
      <c r="H85" s="244">
        <v>0</v>
      </c>
      <c r="I85" s="244"/>
      <c r="K85" s="103">
        <f>G85*H85</f>
        <v>0</v>
      </c>
      <c r="AO85"/>
      <c r="AP85"/>
      <c r="AQ85"/>
    </row>
    <row r="86" spans="1:43" ht="12.75" customHeight="1">
      <c r="G86" s="113"/>
      <c r="K86"/>
    </row>
    <row r="87" spans="1:43" s="24" customFormat="1" ht="12.75">
      <c r="A87" s="98" t="s">
        <v>99</v>
      </c>
      <c r="B87" s="99"/>
      <c r="C87" s="100"/>
      <c r="D87" s="100"/>
      <c r="E87" s="101"/>
      <c r="F87" s="102"/>
      <c r="G87" s="114"/>
      <c r="H87" s="101"/>
      <c r="I87" s="101"/>
      <c r="J87" s="101"/>
      <c r="K87" s="103">
        <f>K79+K85</f>
        <v>796796</v>
      </c>
      <c r="AN87" s="1"/>
    </row>
    <row r="88" spans="1:43" s="24" customFormat="1" ht="4.5" customHeight="1">
      <c r="B88" s="25"/>
      <c r="C88" s="26"/>
      <c r="D88" s="26"/>
      <c r="E88" s="49"/>
      <c r="F88" s="50"/>
      <c r="G88" s="51"/>
      <c r="H88" s="51"/>
      <c r="I88" s="51"/>
      <c r="K88" s="95"/>
      <c r="AN88" s="1"/>
    </row>
    <row r="89" spans="1:43" s="24" customFormat="1" ht="12.75">
      <c r="A89" s="52" t="s">
        <v>12</v>
      </c>
      <c r="B89" s="25"/>
      <c r="C89" s="26"/>
      <c r="D89" s="26"/>
      <c r="E89" s="50"/>
      <c r="F89" s="50"/>
      <c r="G89" s="237">
        <v>0.04</v>
      </c>
      <c r="H89" s="51"/>
      <c r="I89" s="51"/>
      <c r="K89" s="96">
        <f>ROUND(K87*G89,2)</f>
        <v>31872</v>
      </c>
      <c r="AN89" s="1"/>
    </row>
    <row r="90" spans="1:43" s="24" customFormat="1" ht="3" customHeight="1">
      <c r="A90" s="53"/>
      <c r="B90" s="54"/>
      <c r="C90" s="55"/>
      <c r="D90" s="55"/>
      <c r="E90" s="59"/>
      <c r="F90" s="59"/>
      <c r="G90" s="238"/>
      <c r="H90" s="67"/>
      <c r="I90" s="67"/>
      <c r="J90" s="53"/>
      <c r="K90" s="97"/>
    </row>
    <row r="91" spans="1:43" s="24" customFormat="1" ht="3" customHeight="1">
      <c r="B91" s="25"/>
      <c r="C91" s="26"/>
      <c r="D91" s="26"/>
      <c r="E91" s="60"/>
      <c r="F91" s="60"/>
      <c r="G91" s="239"/>
      <c r="H91" s="68"/>
      <c r="I91" s="68"/>
      <c r="J91" s="61"/>
      <c r="K91" s="95"/>
    </row>
    <row r="92" spans="1:43" s="24" customFormat="1" ht="12.75">
      <c r="A92" s="56" t="s">
        <v>100</v>
      </c>
      <c r="B92" s="57"/>
      <c r="C92" s="58"/>
      <c r="D92" s="58"/>
      <c r="E92" s="27"/>
      <c r="F92" s="27"/>
      <c r="G92" s="236"/>
      <c r="H92" s="51"/>
      <c r="I92" s="51"/>
      <c r="K92" s="96">
        <f>K87+K89</f>
        <v>828668</v>
      </c>
    </row>
    <row r="93" spans="1:43" s="24" customFormat="1" ht="12.75">
      <c r="A93" s="24" t="s">
        <v>13</v>
      </c>
      <c r="B93" s="25"/>
      <c r="D93" s="26"/>
      <c r="E93" s="27"/>
      <c r="F93" s="27"/>
      <c r="G93" s="28">
        <v>0.2</v>
      </c>
      <c r="H93" s="28"/>
      <c r="I93" s="28"/>
      <c r="K93" s="96">
        <f>ROUND(K92*G93,2)</f>
        <v>165734</v>
      </c>
    </row>
    <row r="94" spans="1:43" s="24" customFormat="1" ht="3" customHeight="1">
      <c r="B94" s="25"/>
      <c r="C94" s="26"/>
      <c r="D94" s="26"/>
      <c r="E94" s="27"/>
      <c r="F94" s="27"/>
      <c r="G94" s="51"/>
      <c r="H94" s="51"/>
      <c r="I94" s="51"/>
      <c r="K94" s="95"/>
    </row>
    <row r="95" spans="1:43" s="24" customFormat="1" ht="12.75">
      <c r="A95" s="202" t="s">
        <v>101</v>
      </c>
      <c r="B95" s="214"/>
      <c r="C95" s="203"/>
      <c r="D95" s="203"/>
      <c r="E95" s="204"/>
      <c r="F95" s="205"/>
      <c r="G95" s="206"/>
      <c r="H95" s="206"/>
      <c r="I95" s="206"/>
      <c r="J95" s="204"/>
      <c r="K95" s="207">
        <f>SUM(K91:K93)</f>
        <v>994402</v>
      </c>
    </row>
    <row r="96" spans="1:43" ht="5.0999999999999996" customHeight="1">
      <c r="AN96" s="24"/>
    </row>
    <row r="97" spans="1:40">
      <c r="A97" s="216" t="s">
        <v>86</v>
      </c>
      <c r="G97" s="261">
        <f>K92/G33</f>
        <v>2.3852999999999999E-2</v>
      </c>
      <c r="AN97" s="24"/>
    </row>
    <row r="98" spans="1:40">
      <c r="AN98" s="24"/>
    </row>
    <row r="100" spans="1:40">
      <c r="AN100" s="216"/>
    </row>
  </sheetData>
  <sheetProtection algorithmName="SHA-512" hashValue="QR4vzSor+k7nDbSmzZOC1u6L6sVmN9/m2pSd0qCfBwMvpMzMZiTT5Q7iFyzq3v0ncxamBx9G3BVsXlBxGGsDVw==" saltValue="8t3X+9HxKJGH52/UZ/mWjg==" spinCount="100000" sheet="1"/>
  <mergeCells count="93">
    <mergeCell ref="AM45:AM65"/>
    <mergeCell ref="AG7:AL8"/>
    <mergeCell ref="A13:B13"/>
    <mergeCell ref="A12:B12"/>
    <mergeCell ref="A11:B11"/>
    <mergeCell ref="A9:B9"/>
    <mergeCell ref="A7:B7"/>
    <mergeCell ref="J44:K44"/>
    <mergeCell ref="Z45:Z65"/>
    <mergeCell ref="AG13:AL13"/>
    <mergeCell ref="AG15:AJ15"/>
    <mergeCell ref="AG21:AJ22"/>
    <mergeCell ref="M45:M65"/>
    <mergeCell ref="N45:N65"/>
    <mergeCell ref="O45:O65"/>
    <mergeCell ref="P45:P65"/>
    <mergeCell ref="R45:R65"/>
    <mergeCell ref="S45:S65"/>
    <mergeCell ref="T45:T65"/>
    <mergeCell ref="AK45:AK65"/>
    <mergeCell ref="AL45:AL65"/>
    <mergeCell ref="U45:U65"/>
    <mergeCell ref="V45:V65"/>
    <mergeCell ref="W45:W65"/>
    <mergeCell ref="X45:X65"/>
    <mergeCell ref="Y45:Y65"/>
    <mergeCell ref="AA45:AA65"/>
    <mergeCell ref="AB45:AB65"/>
    <mergeCell ref="AC45:AC65"/>
    <mergeCell ref="AD45:AD65"/>
    <mergeCell ref="AE45:AE65"/>
    <mergeCell ref="AG45:AG65"/>
    <mergeCell ref="AH45:AH65"/>
    <mergeCell ref="AI45:AI65"/>
    <mergeCell ref="AJ45:AJ65"/>
    <mergeCell ref="AE3:AF4"/>
    <mergeCell ref="AG3:AJ4"/>
    <mergeCell ref="AE5:AF6"/>
    <mergeCell ref="AG5:AJ6"/>
    <mergeCell ref="AG9:AJ9"/>
    <mergeCell ref="AE7:AF8"/>
    <mergeCell ref="AF45:AF65"/>
    <mergeCell ref="AG17:AJ17"/>
    <mergeCell ref="AG19:AJ19"/>
    <mergeCell ref="AE31:AF32"/>
    <mergeCell ref="AE33:AF34"/>
    <mergeCell ref="AE35:AF36"/>
    <mergeCell ref="AE21:AE22"/>
    <mergeCell ref="AE23:AF24"/>
    <mergeCell ref="AE25:AF26"/>
    <mergeCell ref="A35:B35"/>
    <mergeCell ref="A21:B21"/>
    <mergeCell ref="A23:B23"/>
    <mergeCell ref="A25:B25"/>
    <mergeCell ref="A27:B27"/>
    <mergeCell ref="A29:B29"/>
    <mergeCell ref="A31:B31"/>
    <mergeCell ref="J2:K2"/>
    <mergeCell ref="A14:B14"/>
    <mergeCell ref="A15:B15"/>
    <mergeCell ref="AG11:AL11"/>
    <mergeCell ref="M67:M68"/>
    <mergeCell ref="N67:N68"/>
    <mergeCell ref="O67:O68"/>
    <mergeCell ref="P67:P68"/>
    <mergeCell ref="R67:R68"/>
    <mergeCell ref="S67:S68"/>
    <mergeCell ref="A16:B16"/>
    <mergeCell ref="A17:B17"/>
    <mergeCell ref="A18:B18"/>
    <mergeCell ref="A19:B19"/>
    <mergeCell ref="AE27:AF28"/>
    <mergeCell ref="AE29:AF30"/>
    <mergeCell ref="AE67:AE68"/>
    <mergeCell ref="T67:T68"/>
    <mergeCell ref="U67:U68"/>
    <mergeCell ref="V67:V68"/>
    <mergeCell ref="W67:W68"/>
    <mergeCell ref="X67:X68"/>
    <mergeCell ref="Y67:Y68"/>
    <mergeCell ref="Z67:Z68"/>
    <mergeCell ref="AA67:AA68"/>
    <mergeCell ref="AB67:AB68"/>
    <mergeCell ref="AC67:AC68"/>
    <mergeCell ref="AD67:AD68"/>
    <mergeCell ref="AF67:AF68"/>
    <mergeCell ref="AM67:AM68"/>
    <mergeCell ref="AG67:AG68"/>
    <mergeCell ref="AH67:AH68"/>
    <mergeCell ref="AI67:AI68"/>
    <mergeCell ref="AJ67:AJ68"/>
    <mergeCell ref="AK67:AK68"/>
    <mergeCell ref="AL67:AL68"/>
  </mergeCells>
  <phoneticPr fontId="36" type="noConversion"/>
  <conditionalFormatting sqref="N67:P68">
    <cfRule type="containsText" dxfId="9" priority="5" stopIfTrue="1" operator="containsText" text="x">
      <formula>NOT(ISERROR(SEARCH("x",N67)))</formula>
    </cfRule>
  </conditionalFormatting>
  <conditionalFormatting sqref="N69:P78">
    <cfRule type="expression" dxfId="8" priority="6" stopIfTrue="1">
      <formula>IF(N$67="x",TRUE())</formula>
    </cfRule>
  </conditionalFormatting>
  <conditionalFormatting sqref="R67:AM68">
    <cfRule type="containsText" dxfId="7" priority="2" stopIfTrue="1" operator="containsText" text="x">
      <formula>NOT(ISERROR(SEARCH("x",R67)))</formula>
    </cfRule>
  </conditionalFormatting>
  <conditionalFormatting sqref="R69:AM78">
    <cfRule type="expression" dxfId="6" priority="1" stopIfTrue="1">
      <formula>IF(R$67="x",TRUE())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4" pageOrder="overThenDown" orientation="landscape" r:id="rId1"/>
  <headerFooter>
    <oddHeader>&amp;L&amp;"Arial,Fett"&amp;K01+018Angebot Generalplaner gesamt  (GP 2b + Planung + ÖBA) mit BIM
&amp;"Arial,Standard"(TA Anlagengruppen gesamt)&amp;R&amp;"Arial,Standard"&amp;K01+019Version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345" r:id="rId4" name="Scroll Bar 1241">
              <controlPr defaultSize="0" autoPict="0">
                <anchor moveWithCells="1">
                  <from>
                    <xdr:col>9</xdr:col>
                    <xdr:colOff>9525</xdr:colOff>
                    <xdr:row>44</xdr:row>
                    <xdr:rowOff>28575</xdr:rowOff>
                  </from>
                  <to>
                    <xdr:col>10</xdr:col>
                    <xdr:colOff>1123950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6" r:id="rId5" name="Scroll Bar 1242">
              <controlPr defaultSize="0" autoPict="0">
                <anchor moveWithCells="1">
                  <from>
                    <xdr:col>9</xdr:col>
                    <xdr:colOff>19050</xdr:colOff>
                    <xdr:row>45</xdr:row>
                    <xdr:rowOff>28575</xdr:rowOff>
                  </from>
                  <to>
                    <xdr:col>10</xdr:col>
                    <xdr:colOff>1114425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7" r:id="rId6" name="Scroll Bar 1243">
              <controlPr defaultSize="0" autoPict="0">
                <anchor moveWithCells="1">
                  <from>
                    <xdr:col>9</xdr:col>
                    <xdr:colOff>19050</xdr:colOff>
                    <xdr:row>46</xdr:row>
                    <xdr:rowOff>28575</xdr:rowOff>
                  </from>
                  <to>
                    <xdr:col>10</xdr:col>
                    <xdr:colOff>1104900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8" r:id="rId7" name="Scroll Bar 1244">
              <controlPr defaultSize="0" autoPict="0">
                <anchor moveWithCells="1">
                  <from>
                    <xdr:col>9</xdr:col>
                    <xdr:colOff>19050</xdr:colOff>
                    <xdr:row>47</xdr:row>
                    <xdr:rowOff>28575</xdr:rowOff>
                  </from>
                  <to>
                    <xdr:col>10</xdr:col>
                    <xdr:colOff>1114425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9" r:id="rId8" name="Scroll Bar 1245">
              <controlPr defaultSize="0" autoPict="0">
                <anchor moveWithCells="1">
                  <from>
                    <xdr:col>9</xdr:col>
                    <xdr:colOff>19050</xdr:colOff>
                    <xdr:row>49</xdr:row>
                    <xdr:rowOff>28575</xdr:rowOff>
                  </from>
                  <to>
                    <xdr:col>10</xdr:col>
                    <xdr:colOff>1114425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0" r:id="rId9" name="Scroll Bar 1246">
              <controlPr defaultSize="0" autoPict="0">
                <anchor moveWithCells="1">
                  <from>
                    <xdr:col>9</xdr:col>
                    <xdr:colOff>19050</xdr:colOff>
                    <xdr:row>50</xdr:row>
                    <xdr:rowOff>28575</xdr:rowOff>
                  </from>
                  <to>
                    <xdr:col>10</xdr:col>
                    <xdr:colOff>1123950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1" r:id="rId10" name="Scroll Bar 1247">
              <controlPr defaultSize="0" autoPict="0">
                <anchor moveWithCells="1">
                  <from>
                    <xdr:col>9</xdr:col>
                    <xdr:colOff>19050</xdr:colOff>
                    <xdr:row>51</xdr:row>
                    <xdr:rowOff>28575</xdr:rowOff>
                  </from>
                  <to>
                    <xdr:col>10</xdr:col>
                    <xdr:colOff>1123950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2" r:id="rId11" name="Scroll Bar 1248">
              <controlPr defaultSize="0" autoPict="0">
                <anchor moveWithCells="1">
                  <from>
                    <xdr:col>9</xdr:col>
                    <xdr:colOff>19050</xdr:colOff>
                    <xdr:row>52</xdr:row>
                    <xdr:rowOff>28575</xdr:rowOff>
                  </from>
                  <to>
                    <xdr:col>10</xdr:col>
                    <xdr:colOff>1114425</xdr:colOff>
                    <xdr:row>52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tabColor rgb="FF92D050"/>
    <pageSetUpPr fitToPage="1"/>
  </sheetPr>
  <dimension ref="A1:AM105"/>
  <sheetViews>
    <sheetView showGridLines="0" zoomScale="85" zoomScaleNormal="85" zoomScaleSheetLayoutView="55" workbookViewId="0">
      <selection activeCell="Q32" sqref="Q32"/>
    </sheetView>
  </sheetViews>
  <sheetFormatPr baseColWidth="10" defaultColWidth="11.5703125" defaultRowHeight="14.25"/>
  <cols>
    <col min="1" max="1" width="1.5703125" style="1" customWidth="1"/>
    <col min="2" max="2" width="2.28515625" style="7" customWidth="1"/>
    <col min="3" max="3" width="3.28515625" style="7" customWidth="1"/>
    <col min="4" max="4" width="35.140625" style="1" customWidth="1"/>
    <col min="5" max="5" width="8.7109375" style="1" customWidth="1"/>
    <col min="6" max="6" width="7.85546875" style="1" customWidth="1"/>
    <col min="7" max="7" width="15.7109375" style="1" customWidth="1"/>
    <col min="8" max="8" width="11.7109375" style="1" customWidth="1"/>
    <col min="9" max="9" width="3.85546875" style="1" customWidth="1"/>
    <col min="10" max="10" width="7.7109375" style="8" customWidth="1" collapsed="1"/>
    <col min="11" max="11" width="15.7109375" style="9" customWidth="1"/>
    <col min="12" max="12" width="2.7109375" style="9" customWidth="1"/>
    <col min="13" max="13" width="7.85546875" style="284" customWidth="1"/>
    <col min="14" max="15" width="6.5703125" style="284" customWidth="1"/>
    <col min="16" max="16" width="6.5703125" style="1" customWidth="1"/>
    <col min="17" max="17" width="35.5703125" style="1" customWidth="1"/>
    <col min="18" max="19" width="6.5703125" style="1" customWidth="1"/>
    <col min="20" max="20" width="8.42578125" style="1" customWidth="1"/>
    <col min="21" max="39" width="6.5703125" style="1" customWidth="1"/>
    <col min="40" max="16384" width="11.5703125" style="1"/>
  </cols>
  <sheetData>
    <row r="1" spans="1:39" ht="5.0999999999999996" customHeight="1"/>
    <row r="2" spans="1:39" s="39" customFormat="1" ht="35.1" customHeight="1">
      <c r="A2" s="111" t="s">
        <v>87</v>
      </c>
      <c r="C2" s="7"/>
      <c r="G2" s="40"/>
      <c r="H2" s="40"/>
      <c r="I2" s="40"/>
      <c r="J2" s="496" t="s">
        <v>214</v>
      </c>
      <c r="K2" s="496"/>
      <c r="L2" s="45"/>
      <c r="M2" s="285"/>
      <c r="N2" s="285"/>
      <c r="O2" s="285"/>
      <c r="AE2" s="299" t="s">
        <v>135</v>
      </c>
      <c r="AF2" s="300"/>
      <c r="AG2" s="300"/>
      <c r="AH2" s="300"/>
      <c r="AI2" s="300"/>
      <c r="AJ2" s="300"/>
      <c r="AK2" s="300"/>
      <c r="AL2" s="321"/>
      <c r="AM2" s="323"/>
    </row>
    <row r="3" spans="1:39" s="10" customFormat="1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7"/>
      <c r="L3" s="2"/>
      <c r="AE3" s="473" t="s">
        <v>136</v>
      </c>
      <c r="AF3" s="474"/>
      <c r="AG3" s="495" t="str">
        <f>'Tragwerksplanung BIM'!AG3</f>
        <v>Musterschulgebäude</v>
      </c>
      <c r="AH3" s="495"/>
      <c r="AI3" s="495"/>
      <c r="AJ3" s="495"/>
      <c r="AK3" s="495"/>
      <c r="AL3" s="495"/>
      <c r="AM3" s="289"/>
    </row>
    <row r="4" spans="1:39" s="10" customFormat="1" ht="6" customHeight="1">
      <c r="K4" s="2"/>
      <c r="L4" s="2"/>
      <c r="AE4" s="473"/>
      <c r="AF4" s="474"/>
      <c r="AG4" s="495"/>
      <c r="AH4" s="495"/>
      <c r="AI4" s="495"/>
      <c r="AJ4" s="495"/>
      <c r="AK4" s="495"/>
      <c r="AL4" s="495"/>
      <c r="AM4" s="289"/>
    </row>
    <row r="5" spans="1:39" s="10" customFormat="1" ht="12.95" customHeight="1">
      <c r="F5" s="72" t="s">
        <v>63</v>
      </c>
      <c r="G5" s="32" t="s">
        <v>49</v>
      </c>
      <c r="H5" s="32"/>
      <c r="I5" s="32"/>
      <c r="J5" s="12" t="s">
        <v>15</v>
      </c>
      <c r="K5" s="93" t="s">
        <v>50</v>
      </c>
      <c r="L5" s="32"/>
      <c r="AE5" s="473"/>
      <c r="AF5" s="474"/>
      <c r="AG5" s="495"/>
      <c r="AH5" s="495"/>
      <c r="AI5" s="495"/>
      <c r="AJ5" s="495"/>
      <c r="AK5" s="495"/>
      <c r="AL5" s="495"/>
      <c r="AM5" s="289"/>
    </row>
    <row r="6" spans="1:39" s="10" customFormat="1" ht="6" customHeight="1">
      <c r="G6" s="70"/>
      <c r="K6" s="2"/>
      <c r="L6" s="2"/>
      <c r="AE6" s="473"/>
      <c r="AF6" s="474"/>
      <c r="AG6" s="495"/>
      <c r="AH6" s="495"/>
      <c r="AI6" s="495"/>
      <c r="AJ6" s="495"/>
      <c r="AK6" s="495"/>
      <c r="AL6" s="495"/>
      <c r="AM6" s="289"/>
    </row>
    <row r="7" spans="1:39" s="11" customFormat="1" ht="12.95" customHeight="1">
      <c r="A7" s="484">
        <v>1</v>
      </c>
      <c r="B7" s="484"/>
      <c r="C7" s="79"/>
      <c r="D7" s="80" t="s">
        <v>0</v>
      </c>
      <c r="E7" s="80"/>
      <c r="F7" s="140">
        <f>G7/$G$33</f>
        <v>1E-3</v>
      </c>
      <c r="G7" s="156">
        <f>_1</f>
        <v>50000</v>
      </c>
      <c r="H7" s="75"/>
      <c r="I7" s="2"/>
      <c r="J7" s="108">
        <v>0</v>
      </c>
      <c r="K7" s="156">
        <f>G7*J7</f>
        <v>0</v>
      </c>
      <c r="L7" s="36"/>
      <c r="AE7" s="473" t="s">
        <v>146</v>
      </c>
      <c r="AF7" s="474"/>
      <c r="AG7" s="487" t="str">
        <f>'Summenblatt Schule'!O5</f>
        <v>Schule 25 Mio BK</v>
      </c>
      <c r="AH7" s="487"/>
      <c r="AI7" s="487"/>
      <c r="AJ7" s="487"/>
      <c r="AK7" s="10"/>
      <c r="AL7" s="10"/>
      <c r="AM7" s="290"/>
    </row>
    <row r="8" spans="1:39" ht="6.95" customHeight="1">
      <c r="B8" s="4"/>
      <c r="C8" s="6"/>
      <c r="F8" s="141"/>
      <c r="G8" s="125"/>
      <c r="J8" s="92"/>
      <c r="K8" s="125"/>
      <c r="L8" s="46"/>
      <c r="AE8" s="473"/>
      <c r="AF8" s="474"/>
      <c r="AG8" s="487"/>
      <c r="AH8" s="487"/>
      <c r="AI8" s="487"/>
      <c r="AJ8" s="487"/>
      <c r="AK8" s="10"/>
      <c r="AL8" s="10"/>
      <c r="AM8" s="291"/>
    </row>
    <row r="9" spans="1:39" s="11" customFormat="1" ht="12.95" customHeight="1">
      <c r="A9" s="484">
        <v>2</v>
      </c>
      <c r="B9" s="484"/>
      <c r="C9" s="79"/>
      <c r="D9" s="80" t="s">
        <v>1</v>
      </c>
      <c r="E9" s="80"/>
      <c r="F9" s="140">
        <f>G9/$G$33</f>
        <v>0.27900000000000003</v>
      </c>
      <c r="G9" s="156">
        <f>_2</f>
        <v>9700000</v>
      </c>
      <c r="H9" s="75"/>
      <c r="I9" s="2"/>
      <c r="J9" s="109">
        <v>0</v>
      </c>
      <c r="K9" s="156">
        <f>G9*J9</f>
        <v>0</v>
      </c>
      <c r="L9" s="36"/>
      <c r="AE9" s="297" t="s">
        <v>137</v>
      </c>
      <c r="AF9" s="298"/>
      <c r="AG9" s="123" t="str">
        <f>'Tragwerksplanung BIM'!AG7</f>
        <v>Musterstraße, 9999 Stadt</v>
      </c>
      <c r="AH9" s="123"/>
      <c r="AI9" s="123"/>
      <c r="AJ9" s="123"/>
      <c r="AK9" s="123"/>
      <c r="AM9" s="290"/>
    </row>
    <row r="10" spans="1:39" ht="6.95" customHeight="1">
      <c r="F10" s="141"/>
      <c r="G10" s="124"/>
      <c r="J10" s="92"/>
      <c r="K10" s="124"/>
      <c r="L10" s="36"/>
      <c r="AE10" s="297"/>
      <c r="AF10" s="298"/>
      <c r="AG10" s="123"/>
      <c r="AH10" s="123"/>
      <c r="AI10" s="123"/>
      <c r="AJ10" s="123"/>
      <c r="AK10" s="123"/>
      <c r="AM10" s="291"/>
    </row>
    <row r="11" spans="1:39" s="10" customFormat="1" ht="12.95" customHeight="1">
      <c r="A11" s="484">
        <v>3</v>
      </c>
      <c r="B11" s="484"/>
      <c r="C11" s="79"/>
      <c r="D11" s="80" t="s">
        <v>7</v>
      </c>
      <c r="E11" s="80"/>
      <c r="F11" s="140">
        <f>G11/$G$33</f>
        <v>0.18099999999999999</v>
      </c>
      <c r="G11" s="157">
        <f>_3</f>
        <v>6300000</v>
      </c>
      <c r="H11" s="75"/>
      <c r="I11" s="2"/>
      <c r="J11" s="461"/>
      <c r="K11" s="208"/>
      <c r="L11" s="36"/>
      <c r="AE11" s="297" t="s">
        <v>138</v>
      </c>
      <c r="AF11" s="298"/>
      <c r="AG11" s="123" t="str">
        <f>'GP2b Mgt. NEU BIM'!AF11</f>
        <v xml:space="preserve"> </v>
      </c>
      <c r="AH11" s="123"/>
      <c r="AI11" s="123"/>
      <c r="AJ11" s="123"/>
      <c r="AK11" s="123"/>
      <c r="AL11" s="11"/>
      <c r="AM11" s="289"/>
    </row>
    <row r="12" spans="1:39" ht="12.95" customHeight="1">
      <c r="A12" s="498">
        <v>3</v>
      </c>
      <c r="B12" s="498"/>
      <c r="C12" s="83" t="s">
        <v>16</v>
      </c>
      <c r="D12" s="84" t="s">
        <v>17</v>
      </c>
      <c r="E12" s="84"/>
      <c r="F12" s="142"/>
      <c r="G12" s="153">
        <f>_3.01</f>
        <v>2000000</v>
      </c>
      <c r="H12" s="75"/>
      <c r="I12" s="2"/>
      <c r="J12" s="109">
        <v>1</v>
      </c>
      <c r="K12" s="158">
        <f t="shared" ref="K12:K19" si="0">G12*J12</f>
        <v>2000000</v>
      </c>
      <c r="L12" s="36"/>
      <c r="AE12" s="297"/>
      <c r="AF12" s="298"/>
      <c r="AG12" s="304"/>
      <c r="AH12" s="304"/>
      <c r="AI12" s="304"/>
      <c r="AJ12" s="304"/>
      <c r="AK12" s="304"/>
      <c r="AM12" s="291"/>
    </row>
    <row r="13" spans="1:39" ht="12.95" customHeight="1">
      <c r="A13" s="497">
        <v>3</v>
      </c>
      <c r="B13" s="497"/>
      <c r="C13" s="87" t="s">
        <v>18</v>
      </c>
      <c r="D13" s="88" t="s">
        <v>25</v>
      </c>
      <c r="E13" s="88"/>
      <c r="F13" s="143"/>
      <c r="G13" s="154">
        <f>_3.02</f>
        <v>0</v>
      </c>
      <c r="H13" s="75"/>
      <c r="I13" s="2"/>
      <c r="J13" s="109">
        <v>1</v>
      </c>
      <c r="K13" s="158">
        <f t="shared" si="0"/>
        <v>0</v>
      </c>
      <c r="L13" s="36"/>
      <c r="AE13" s="297" t="s">
        <v>149</v>
      </c>
      <c r="AF13" s="298"/>
      <c r="AG13" s="503"/>
      <c r="AH13" s="503"/>
      <c r="AI13" s="503"/>
      <c r="AJ13" s="503"/>
      <c r="AK13" s="503"/>
      <c r="AL13" s="503"/>
      <c r="AM13" s="291"/>
    </row>
    <row r="14" spans="1:39" ht="12.95" customHeight="1">
      <c r="A14" s="497">
        <v>3</v>
      </c>
      <c r="B14" s="497"/>
      <c r="C14" s="87" t="s">
        <v>19</v>
      </c>
      <c r="D14" s="88" t="s">
        <v>26</v>
      </c>
      <c r="E14" s="88"/>
      <c r="F14" s="143"/>
      <c r="G14" s="155">
        <f>_3.03</f>
        <v>1500000</v>
      </c>
      <c r="H14" s="75"/>
      <c r="I14" s="2"/>
      <c r="J14" s="109">
        <v>1</v>
      </c>
      <c r="K14" s="158">
        <f t="shared" si="0"/>
        <v>1500000</v>
      </c>
      <c r="L14" s="36"/>
      <c r="AE14" s="297"/>
      <c r="AF14" s="298"/>
      <c r="AG14" s="304"/>
      <c r="AH14" s="304"/>
      <c r="AI14" s="304"/>
      <c r="AJ14" s="304"/>
      <c r="AK14" s="304"/>
      <c r="AM14" s="291"/>
    </row>
    <row r="15" spans="1:39" ht="12.95" customHeight="1">
      <c r="A15" s="497">
        <v>3</v>
      </c>
      <c r="B15" s="497"/>
      <c r="C15" s="87" t="s">
        <v>20</v>
      </c>
      <c r="D15" s="88" t="s">
        <v>27</v>
      </c>
      <c r="E15" s="88"/>
      <c r="F15" s="143"/>
      <c r="G15" s="155">
        <f>_3.04</f>
        <v>1500000</v>
      </c>
      <c r="H15" s="75"/>
      <c r="I15" s="2"/>
      <c r="J15" s="109">
        <v>1</v>
      </c>
      <c r="K15" s="158">
        <f t="shared" si="0"/>
        <v>1500000</v>
      </c>
      <c r="L15" s="36"/>
      <c r="M15" s="31"/>
      <c r="AE15" s="297" t="s">
        <v>176</v>
      </c>
      <c r="AF15" s="298"/>
      <c r="AG15" s="503"/>
      <c r="AH15" s="503"/>
      <c r="AI15" s="503"/>
      <c r="AJ15" s="503"/>
      <c r="AK15" s="503"/>
      <c r="AL15" s="503"/>
      <c r="AM15" s="291"/>
    </row>
    <row r="16" spans="1:39" ht="12.95" customHeight="1">
      <c r="A16" s="497">
        <v>3</v>
      </c>
      <c r="B16" s="497"/>
      <c r="C16" s="87" t="s">
        <v>21</v>
      </c>
      <c r="D16" s="88" t="s">
        <v>30</v>
      </c>
      <c r="E16" s="88"/>
      <c r="F16" s="143"/>
      <c r="G16" s="155">
        <f>_3.05</f>
        <v>300000</v>
      </c>
      <c r="H16" s="75"/>
      <c r="I16" s="2"/>
      <c r="J16" s="109">
        <v>1</v>
      </c>
      <c r="K16" s="158">
        <f t="shared" si="0"/>
        <v>300000</v>
      </c>
      <c r="L16" s="36"/>
      <c r="M16" s="31"/>
      <c r="AE16" s="297"/>
      <c r="AF16" s="298"/>
      <c r="AG16" s="304"/>
      <c r="AH16" s="304"/>
      <c r="AI16" s="304"/>
      <c r="AJ16" s="304"/>
      <c r="AK16" s="304"/>
      <c r="AM16" s="291"/>
    </row>
    <row r="17" spans="1:39" ht="12.95" customHeight="1">
      <c r="A17" s="497">
        <v>3</v>
      </c>
      <c r="B17" s="497"/>
      <c r="C17" s="87" t="s">
        <v>22</v>
      </c>
      <c r="D17" s="88" t="s">
        <v>28</v>
      </c>
      <c r="E17" s="88"/>
      <c r="F17" s="143"/>
      <c r="G17" s="155">
        <f>_3.06</f>
        <v>500000</v>
      </c>
      <c r="H17" s="75"/>
      <c r="I17" s="2"/>
      <c r="J17" s="109">
        <v>1</v>
      </c>
      <c r="K17" s="158">
        <f t="shared" si="0"/>
        <v>500000</v>
      </c>
      <c r="L17" s="36"/>
      <c r="M17" s="31"/>
      <c r="AE17" s="297" t="s">
        <v>139</v>
      </c>
      <c r="AF17" s="298"/>
      <c r="AG17" s="304" t="str">
        <f>'Tragwerksplanung BIM'!AG15</f>
        <v>nn m²</v>
      </c>
      <c r="AH17" s="304"/>
      <c r="AI17" s="304"/>
      <c r="AJ17" s="304"/>
      <c r="AK17" s="304"/>
      <c r="AM17" s="291"/>
    </row>
    <row r="18" spans="1:39" ht="12.95" customHeight="1">
      <c r="A18" s="497">
        <v>3</v>
      </c>
      <c r="B18" s="497"/>
      <c r="C18" s="87" t="s">
        <v>23</v>
      </c>
      <c r="D18" s="88" t="s">
        <v>29</v>
      </c>
      <c r="E18" s="88"/>
      <c r="F18" s="143"/>
      <c r="G18" s="155">
        <f>_3.07</f>
        <v>0</v>
      </c>
      <c r="H18" s="75"/>
      <c r="I18" s="2"/>
      <c r="J18" s="109">
        <v>0</v>
      </c>
      <c r="K18" s="158">
        <f t="shared" si="0"/>
        <v>0</v>
      </c>
      <c r="L18" s="36"/>
      <c r="M18" s="31"/>
      <c r="AE18" s="297"/>
      <c r="AF18" s="298"/>
      <c r="AG18" s="304"/>
      <c r="AH18" s="304"/>
      <c r="AI18" s="304"/>
      <c r="AJ18" s="304"/>
      <c r="AK18" s="304"/>
      <c r="AM18" s="291"/>
    </row>
    <row r="19" spans="1:39" ht="12.95" customHeight="1">
      <c r="A19" s="497">
        <v>3</v>
      </c>
      <c r="B19" s="497"/>
      <c r="C19" s="87" t="s">
        <v>24</v>
      </c>
      <c r="D19" s="88" t="s">
        <v>8</v>
      </c>
      <c r="E19" s="88"/>
      <c r="F19" s="143"/>
      <c r="G19" s="155">
        <f>_3.08</f>
        <v>500000</v>
      </c>
      <c r="H19" s="75"/>
      <c r="I19" s="2"/>
      <c r="J19" s="109">
        <v>1</v>
      </c>
      <c r="K19" s="158">
        <f t="shared" si="0"/>
        <v>500000</v>
      </c>
      <c r="L19" s="36"/>
      <c r="M19" s="31"/>
      <c r="AE19" s="297" t="s">
        <v>140</v>
      </c>
      <c r="AF19" s="298"/>
      <c r="AG19" s="304" t="str">
        <f>'Tragwerksplanung BIM'!AG17</f>
        <v>nn m²</v>
      </c>
      <c r="AH19" s="304"/>
      <c r="AI19" s="304"/>
      <c r="AJ19" s="304"/>
      <c r="AK19" s="304"/>
      <c r="AM19" s="291"/>
    </row>
    <row r="20" spans="1:39" ht="6.95" customHeight="1">
      <c r="F20" s="141"/>
      <c r="G20" s="124"/>
      <c r="J20" s="110"/>
      <c r="K20" s="124"/>
      <c r="L20" s="35"/>
      <c r="AE20" s="297"/>
      <c r="AF20" s="298"/>
      <c r="AG20" s="304"/>
      <c r="AH20" s="304"/>
      <c r="AI20" s="304"/>
      <c r="AJ20" s="304"/>
      <c r="AK20" s="304"/>
      <c r="AM20" s="291"/>
    </row>
    <row r="21" spans="1:39" s="10" customFormat="1" ht="12.75" customHeight="1">
      <c r="A21" s="484">
        <v>4</v>
      </c>
      <c r="B21" s="484"/>
      <c r="C21" s="79"/>
      <c r="D21" s="80" t="s">
        <v>2</v>
      </c>
      <c r="E21" s="80"/>
      <c r="F21" s="140">
        <f>G21/$G$33</f>
        <v>0.25900000000000001</v>
      </c>
      <c r="G21" s="156">
        <f>_4</f>
        <v>9000000</v>
      </c>
      <c r="H21" s="75"/>
      <c r="I21" s="2"/>
      <c r="J21" s="109">
        <v>0</v>
      </c>
      <c r="K21" s="156">
        <f>G21*J21</f>
        <v>0</v>
      </c>
      <c r="L21" s="36"/>
      <c r="AE21" s="297" t="s">
        <v>141</v>
      </c>
      <c r="AF21" s="298"/>
      <c r="AG21" s="304" t="str">
        <f>'Tragwerksplanung BIM'!AG19</f>
        <v>nn m³</v>
      </c>
      <c r="AH21" s="304"/>
      <c r="AI21" s="304"/>
      <c r="AJ21" s="304"/>
      <c r="AK21" s="304"/>
      <c r="AL21" s="1"/>
      <c r="AM21" s="289"/>
    </row>
    <row r="22" spans="1:39" ht="6.95" customHeight="1">
      <c r="B22" s="4"/>
      <c r="C22" s="6"/>
      <c r="F22" s="141"/>
      <c r="G22" s="124"/>
      <c r="J22" s="92"/>
      <c r="K22" s="124"/>
      <c r="L22" s="34"/>
      <c r="AE22" s="297"/>
      <c r="AF22" s="298"/>
      <c r="AG22" s="304"/>
      <c r="AH22" s="304"/>
      <c r="AI22" s="304"/>
      <c r="AJ22" s="304"/>
      <c r="AK22" s="304"/>
      <c r="AM22" s="291"/>
    </row>
    <row r="23" spans="1:39" s="11" customFormat="1" ht="12.95" customHeight="1">
      <c r="A23" s="484">
        <v>5</v>
      </c>
      <c r="B23" s="484"/>
      <c r="C23" s="79"/>
      <c r="D23" s="80" t="s">
        <v>9</v>
      </c>
      <c r="E23" s="80"/>
      <c r="F23" s="140">
        <f>G23/$G$33</f>
        <v>4.0000000000000001E-3</v>
      </c>
      <c r="G23" s="158">
        <f>_5</f>
        <v>130000</v>
      </c>
      <c r="H23" s="75"/>
      <c r="I23" s="2"/>
      <c r="J23" s="109">
        <v>0</v>
      </c>
      <c r="K23" s="156">
        <f>G23*J23</f>
        <v>0</v>
      </c>
      <c r="L23" s="36"/>
      <c r="AE23" s="297" t="s">
        <v>142</v>
      </c>
      <c r="AF23" s="298"/>
      <c r="AG23" s="123" t="str">
        <f>'Tragwerksplanung BIM'!AG21</f>
        <v>nn m³</v>
      </c>
      <c r="AH23" s="123"/>
      <c r="AI23" s="123"/>
      <c r="AJ23" s="123"/>
      <c r="AK23" s="123"/>
      <c r="AL23" s="10"/>
      <c r="AM23" s="290"/>
    </row>
    <row r="24" spans="1:39" ht="6.95" customHeight="1">
      <c r="F24" s="141"/>
      <c r="G24" s="124"/>
      <c r="J24" s="92"/>
      <c r="K24" s="124"/>
      <c r="L24" s="36"/>
      <c r="AE24" s="297"/>
      <c r="AF24" s="298"/>
      <c r="AG24" s="123"/>
      <c r="AH24" s="123"/>
      <c r="AI24" s="123"/>
      <c r="AJ24" s="123"/>
      <c r="AM24" s="291"/>
    </row>
    <row r="25" spans="1:39" s="10" customFormat="1" ht="12.95" customHeight="1">
      <c r="A25" s="484">
        <v>6</v>
      </c>
      <c r="B25" s="484"/>
      <c r="C25" s="79"/>
      <c r="D25" s="80" t="s">
        <v>3</v>
      </c>
      <c r="E25" s="80"/>
      <c r="F25" s="140">
        <f>G25/$G$33</f>
        <v>1E-3</v>
      </c>
      <c r="G25" s="156">
        <f>_6</f>
        <v>35000</v>
      </c>
      <c r="H25" s="75"/>
      <c r="I25" s="2"/>
      <c r="J25" s="109">
        <v>0</v>
      </c>
      <c r="K25" s="156">
        <f>G25*J25</f>
        <v>0</v>
      </c>
      <c r="L25" s="36"/>
      <c r="M25" s="284"/>
      <c r="N25" s="284"/>
      <c r="O25" s="28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97"/>
      <c r="AF25" s="298"/>
      <c r="AG25" s="11"/>
      <c r="AH25" s="11"/>
      <c r="AI25" s="11"/>
      <c r="AJ25" s="11"/>
      <c r="AK25" s="11"/>
      <c r="AL25" s="11"/>
      <c r="AM25" s="289"/>
    </row>
    <row r="26" spans="1:39" ht="6.95" customHeight="1">
      <c r="B26" s="13"/>
      <c r="C26" s="5"/>
      <c r="F26" s="144"/>
      <c r="G26" s="124"/>
      <c r="J26" s="92"/>
      <c r="K26" s="124"/>
      <c r="L26" s="36"/>
      <c r="AE26" s="297"/>
      <c r="AF26" s="298"/>
      <c r="AM26" s="291"/>
    </row>
    <row r="27" spans="1:39" s="11" customFormat="1" ht="12.95" customHeight="1">
      <c r="A27" s="484">
        <v>7</v>
      </c>
      <c r="B27" s="484"/>
      <c r="C27" s="79"/>
      <c r="D27" s="80" t="s">
        <v>90</v>
      </c>
      <c r="E27" s="80"/>
      <c r="F27" s="140">
        <f>G27/$G$33</f>
        <v>0.187</v>
      </c>
      <c r="G27" s="156">
        <f>_7</f>
        <v>6500000</v>
      </c>
      <c r="H27" s="75"/>
      <c r="I27" s="2"/>
      <c r="J27" s="109">
        <v>0</v>
      </c>
      <c r="K27" s="156">
        <f>G27*J27</f>
        <v>0</v>
      </c>
      <c r="L27" s="36"/>
      <c r="M27" s="284"/>
      <c r="N27" s="284"/>
      <c r="O27" s="28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97"/>
      <c r="AF27" s="298"/>
      <c r="AG27" s="1"/>
      <c r="AH27" s="1"/>
      <c r="AI27" s="1"/>
      <c r="AJ27" s="1"/>
      <c r="AK27" s="1"/>
      <c r="AL27" s="10"/>
      <c r="AM27" s="290"/>
    </row>
    <row r="28" spans="1:39" ht="6.95" customHeight="1">
      <c r="F28" s="144"/>
      <c r="G28" s="124"/>
      <c r="J28" s="92"/>
      <c r="K28" s="124"/>
      <c r="L28" s="3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297"/>
      <c r="AF28" s="298"/>
      <c r="AM28" s="291"/>
    </row>
    <row r="29" spans="1:39" s="11" customFormat="1" ht="12.95" customHeight="1">
      <c r="A29" s="484">
        <v>8</v>
      </c>
      <c r="B29" s="484"/>
      <c r="C29" s="79"/>
      <c r="D29" s="80" t="s">
        <v>85</v>
      </c>
      <c r="E29" s="80"/>
      <c r="F29" s="140">
        <f>G29/$G$33</f>
        <v>1E-3</v>
      </c>
      <c r="G29" s="156">
        <f>_8</f>
        <v>25000</v>
      </c>
      <c r="H29" s="75"/>
      <c r="I29" s="2"/>
      <c r="J29" s="109">
        <v>0</v>
      </c>
      <c r="K29" s="156">
        <f>G29*J29</f>
        <v>0</v>
      </c>
      <c r="L29" s="36"/>
      <c r="M29" s="9"/>
      <c r="N29" s="284"/>
      <c r="O29" s="28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97"/>
      <c r="AF29" s="298"/>
      <c r="AG29" s="1"/>
      <c r="AH29" s="1"/>
      <c r="AI29" s="1"/>
      <c r="AJ29" s="1"/>
      <c r="AK29" s="1"/>
      <c r="AM29" s="290"/>
    </row>
    <row r="30" spans="1:39" ht="6.95" customHeight="1">
      <c r="F30" s="144"/>
      <c r="G30" s="124"/>
      <c r="J30" s="110"/>
      <c r="K30" s="124"/>
      <c r="L30" s="35"/>
      <c r="M30" s="3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97"/>
      <c r="AF30" s="298"/>
      <c r="AG30" s="10"/>
      <c r="AH30" s="10"/>
      <c r="AI30" s="10"/>
      <c r="AJ30" s="10"/>
      <c r="AK30" s="10"/>
      <c r="AM30" s="291"/>
    </row>
    <row r="31" spans="1:39" s="11" customFormat="1" ht="12.95" customHeight="1">
      <c r="A31" s="484">
        <v>9</v>
      </c>
      <c r="B31" s="484"/>
      <c r="C31" s="79"/>
      <c r="D31" s="80" t="s">
        <v>10</v>
      </c>
      <c r="E31" s="80"/>
      <c r="F31" s="140">
        <f>G31/$G$33</f>
        <v>8.5999999999999993E-2</v>
      </c>
      <c r="G31" s="156">
        <f>_9</f>
        <v>3000000</v>
      </c>
      <c r="H31" s="75"/>
      <c r="I31" s="2"/>
      <c r="J31" s="109">
        <v>0.1</v>
      </c>
      <c r="K31" s="156">
        <f>G31*J31</f>
        <v>300000</v>
      </c>
      <c r="L31" s="36"/>
      <c r="M31" s="9"/>
      <c r="N31" s="284"/>
      <c r="O31" s="28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97"/>
      <c r="AF31" s="298"/>
      <c r="AG31" s="1"/>
      <c r="AH31" s="1"/>
      <c r="AI31" s="1"/>
      <c r="AJ31" s="1"/>
      <c r="AK31" s="1"/>
      <c r="AM31" s="290"/>
    </row>
    <row r="32" spans="1:39" ht="12" customHeight="1">
      <c r="B32" s="13"/>
      <c r="C32" s="5"/>
      <c r="F32" s="33"/>
      <c r="J32" s="112"/>
      <c r="K32" s="1"/>
      <c r="L32" s="1"/>
      <c r="M32" s="16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97"/>
      <c r="AF32" s="298"/>
      <c r="AG32" s="11"/>
      <c r="AH32" s="11"/>
      <c r="AI32" s="11"/>
      <c r="AJ32" s="11"/>
      <c r="AK32" s="11"/>
      <c r="AM32" s="291"/>
    </row>
    <row r="33" spans="1:39" ht="12.95" customHeight="1">
      <c r="A33" s="117" t="s">
        <v>208</v>
      </c>
      <c r="B33" s="118"/>
      <c r="C33" s="118"/>
      <c r="D33" s="118"/>
      <c r="E33" s="65"/>
      <c r="F33" s="74">
        <f>SUM(F7:F31)</f>
        <v>1</v>
      </c>
      <c r="G33" s="94">
        <f>_EK</f>
        <v>34740000</v>
      </c>
      <c r="H33" s="66"/>
      <c r="I33" s="66"/>
      <c r="J33" s="193"/>
      <c r="K33" s="23"/>
      <c r="L33" s="23"/>
      <c r="M33" s="23"/>
      <c r="AE33" s="297"/>
      <c r="AF33" s="298"/>
      <c r="AL33" s="11"/>
      <c r="AM33" s="291"/>
    </row>
    <row r="34" spans="1:39" ht="6" customHeight="1">
      <c r="B34" s="255"/>
      <c r="F34" s="33"/>
      <c r="L34" s="1"/>
      <c r="M34" s="23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97"/>
      <c r="AF34" s="298"/>
      <c r="AG34" s="11"/>
      <c r="AH34" s="11"/>
      <c r="AI34" s="11"/>
      <c r="AJ34" s="11"/>
      <c r="AK34" s="11"/>
      <c r="AM34" s="291"/>
    </row>
    <row r="35" spans="1:39" s="10" customFormat="1" ht="12.95" customHeight="1">
      <c r="A35" s="484"/>
      <c r="B35" s="484"/>
      <c r="C35" s="79" t="s">
        <v>105</v>
      </c>
      <c r="D35" s="80"/>
      <c r="E35" s="228"/>
      <c r="F35" s="140"/>
      <c r="G35" s="462">
        <f>_mvB</f>
        <v>0</v>
      </c>
      <c r="H35" s="75"/>
      <c r="I35" s="2"/>
      <c r="J35" s="109">
        <v>1</v>
      </c>
      <c r="K35" s="156">
        <f>G35*J35</f>
        <v>0</v>
      </c>
      <c r="M35" s="23"/>
      <c r="N35" s="284"/>
      <c r="O35" s="28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97"/>
      <c r="AF35" s="298"/>
      <c r="AG35" s="1"/>
      <c r="AH35" s="1"/>
      <c r="AI35" s="1"/>
      <c r="AJ35" s="1"/>
      <c r="AK35" s="1"/>
      <c r="AL35" s="1"/>
      <c r="AM35" s="289"/>
    </row>
    <row r="36" spans="1:39" ht="6" customHeight="1">
      <c r="F36" s="33"/>
      <c r="M36" s="3"/>
      <c r="N36" s="286"/>
      <c r="O36" s="286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297"/>
      <c r="AF36" s="298"/>
      <c r="AG36" s="11"/>
      <c r="AH36" s="11"/>
      <c r="AI36" s="11"/>
      <c r="AJ36" s="11"/>
      <c r="AK36" s="11"/>
      <c r="AM36" s="291"/>
    </row>
    <row r="37" spans="1:39" s="14" customFormat="1" ht="12.95" customHeight="1">
      <c r="A37" s="209" t="s">
        <v>31</v>
      </c>
      <c r="B37" s="210"/>
      <c r="C37" s="210"/>
      <c r="D37" s="210"/>
      <c r="E37" s="220"/>
      <c r="F37" s="220"/>
      <c r="G37" s="220"/>
      <c r="H37" s="220"/>
      <c r="I37" s="220"/>
      <c r="J37" s="221"/>
      <c r="K37" s="222">
        <f>ROUND(SUM(K7:K35),2)</f>
        <v>6600000</v>
      </c>
      <c r="L37" s="4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97"/>
      <c r="AF37" s="298"/>
      <c r="AG37" s="1"/>
      <c r="AH37" s="1"/>
      <c r="AI37" s="1"/>
      <c r="AJ37" s="1"/>
      <c r="AK37" s="1"/>
      <c r="AL37" s="10"/>
      <c r="AM37" s="315"/>
    </row>
    <row r="38" spans="1:39" s="16" customFormat="1" ht="12.95" customHeight="1">
      <c r="B38" s="17"/>
      <c r="C38" s="17"/>
      <c r="J38" s="170"/>
      <c r="K38" s="170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297"/>
      <c r="AF38" s="298"/>
      <c r="AG38" s="115"/>
      <c r="AH38" s="115"/>
      <c r="AI38" s="115"/>
      <c r="AJ38" s="115"/>
      <c r="AK38" s="115"/>
      <c r="AL38" s="1"/>
      <c r="AM38" s="293"/>
    </row>
    <row r="39" spans="1:39" ht="9" customHeight="1">
      <c r="B39" s="15"/>
      <c r="K39" s="256"/>
      <c r="M39" s="1"/>
      <c r="N39" s="1"/>
      <c r="O39" s="1"/>
      <c r="AE39" s="309"/>
      <c r="AF39" s="123"/>
      <c r="AL39" s="14"/>
      <c r="AM39" s="291"/>
    </row>
    <row r="40" spans="1:39" ht="6" customHeight="1">
      <c r="A40" s="173"/>
      <c r="B40" s="173"/>
      <c r="C40" s="173"/>
      <c r="D40" s="173"/>
      <c r="E40" s="173"/>
      <c r="F40" s="173"/>
      <c r="G40" s="173"/>
      <c r="H40" s="173"/>
      <c r="I40" s="173"/>
      <c r="K40" s="257"/>
      <c r="M40" s="3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316"/>
      <c r="AF40" s="311"/>
      <c r="AG40" s="311"/>
      <c r="AH40" s="317"/>
      <c r="AI40" s="317"/>
      <c r="AJ40" s="317"/>
      <c r="AK40" s="317"/>
      <c r="AL40" s="322"/>
      <c r="AM40" s="296"/>
    </row>
    <row r="41" spans="1:39" ht="12.75" customHeight="1">
      <c r="A41" s="171" t="s">
        <v>263</v>
      </c>
      <c r="B41" s="171"/>
      <c r="C41" s="171"/>
      <c r="D41" s="172"/>
      <c r="E41" s="172"/>
      <c r="F41" s="172"/>
      <c r="G41" s="172"/>
      <c r="H41" s="172"/>
      <c r="I41" s="172"/>
      <c r="J41" s="171"/>
      <c r="K41" s="258"/>
      <c r="L41" s="174"/>
      <c r="M41" s="23"/>
      <c r="N41" s="287"/>
      <c r="O41" s="287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H41" s="123"/>
      <c r="AI41" s="123"/>
    </row>
    <row r="42" spans="1:39" ht="6.75" customHeight="1">
      <c r="A42" s="173"/>
      <c r="B42" s="173"/>
      <c r="C42" s="173"/>
      <c r="D42" s="173"/>
      <c r="E42" s="173"/>
      <c r="F42" s="173"/>
      <c r="G42" s="173"/>
      <c r="H42" s="173"/>
      <c r="I42" s="173"/>
      <c r="K42" s="257"/>
      <c r="M42" s="23"/>
      <c r="AH42" s="123"/>
      <c r="AI42" s="123"/>
    </row>
    <row r="43" spans="1:39" ht="12.75" customHeight="1">
      <c r="A43" s="174" t="s">
        <v>64</v>
      </c>
      <c r="B43" s="173"/>
      <c r="C43" s="173"/>
      <c r="D43" s="173"/>
      <c r="E43" s="173"/>
      <c r="F43" s="173"/>
      <c r="G43" s="173"/>
      <c r="H43" s="173"/>
      <c r="I43" s="173"/>
      <c r="K43" s="257"/>
    </row>
    <row r="44" spans="1:39" ht="12.75" customHeight="1">
      <c r="A44" s="18"/>
      <c r="B44" s="18"/>
      <c r="C44" s="18"/>
      <c r="G44" s="175" t="s">
        <v>5</v>
      </c>
      <c r="H44" s="176" t="s">
        <v>4</v>
      </c>
      <c r="I44" s="176"/>
      <c r="J44" s="485" t="s">
        <v>238</v>
      </c>
      <c r="K44" s="485"/>
      <c r="L44" s="42"/>
      <c r="M44" s="478" t="s">
        <v>237</v>
      </c>
      <c r="N44" s="478" t="s">
        <v>131</v>
      </c>
      <c r="O44" s="478" t="s">
        <v>132</v>
      </c>
      <c r="P44" s="478" t="s">
        <v>166</v>
      </c>
      <c r="Q44" s="318"/>
      <c r="R44" s="478" t="s">
        <v>172</v>
      </c>
      <c r="S44" s="478" t="s">
        <v>173</v>
      </c>
      <c r="T44" s="478" t="s">
        <v>174</v>
      </c>
      <c r="U44" s="478" t="s">
        <v>133</v>
      </c>
      <c r="V44" s="478" t="s">
        <v>152</v>
      </c>
      <c r="W44" s="478" t="s">
        <v>153</v>
      </c>
      <c r="X44" s="478" t="s">
        <v>167</v>
      </c>
      <c r="Y44" s="478" t="s">
        <v>154</v>
      </c>
      <c r="Z44" s="478" t="s">
        <v>155</v>
      </c>
      <c r="AA44" s="478" t="s">
        <v>156</v>
      </c>
      <c r="AB44" s="478" t="s">
        <v>168</v>
      </c>
      <c r="AC44" s="478" t="s">
        <v>157</v>
      </c>
      <c r="AD44" s="478" t="s">
        <v>158</v>
      </c>
      <c r="AE44" s="478" t="s">
        <v>160</v>
      </c>
      <c r="AF44" s="478" t="s">
        <v>170</v>
      </c>
      <c r="AG44" s="478" t="s">
        <v>159</v>
      </c>
      <c r="AH44" s="478" t="s">
        <v>161</v>
      </c>
      <c r="AI44" s="478" t="s">
        <v>177</v>
      </c>
      <c r="AJ44" s="478" t="s">
        <v>163</v>
      </c>
      <c r="AK44" s="478" t="s">
        <v>164</v>
      </c>
      <c r="AL44" s="478" t="s">
        <v>169</v>
      </c>
      <c r="AM44" s="478" t="s">
        <v>165</v>
      </c>
    </row>
    <row r="45" spans="1:39" ht="12.75" customHeight="1">
      <c r="B45" s="19" t="s">
        <v>45</v>
      </c>
      <c r="C45" s="43"/>
      <c r="D45" s="37"/>
      <c r="E45" s="37"/>
      <c r="F45" s="37"/>
      <c r="G45" s="370">
        <v>18</v>
      </c>
      <c r="H45" s="177" t="s">
        <v>55</v>
      </c>
      <c r="I45" s="176"/>
      <c r="J45" s="418"/>
      <c r="K45" s="419"/>
      <c r="L45" s="42"/>
      <c r="M45" s="479"/>
      <c r="N45" s="479"/>
      <c r="O45" s="479"/>
      <c r="P45" s="479"/>
      <c r="Q45" s="319"/>
      <c r="R45" s="479"/>
      <c r="S45" s="479"/>
      <c r="T45" s="479"/>
      <c r="U45" s="479"/>
      <c r="V45" s="479"/>
      <c r="W45" s="479"/>
      <c r="X45" s="479"/>
      <c r="Y45" s="479"/>
      <c r="Z45" s="479"/>
      <c r="AA45" s="479"/>
      <c r="AB45" s="479"/>
      <c r="AC45" s="479"/>
      <c r="AD45" s="479"/>
      <c r="AE45" s="479"/>
      <c r="AF45" s="479"/>
      <c r="AG45" s="479"/>
      <c r="AH45" s="479"/>
      <c r="AI45" s="479"/>
      <c r="AJ45" s="479"/>
      <c r="AK45" s="479"/>
      <c r="AL45" s="479"/>
      <c r="AM45" s="479"/>
    </row>
    <row r="46" spans="1:39" ht="12.75" customHeight="1">
      <c r="B46" s="20" t="s">
        <v>46</v>
      </c>
      <c r="C46" s="44"/>
      <c r="D46" s="38"/>
      <c r="E46" s="38"/>
      <c r="F46" s="38"/>
      <c r="G46" s="370">
        <v>1</v>
      </c>
      <c r="H46" s="178" t="s">
        <v>6</v>
      </c>
      <c r="I46" s="176"/>
      <c r="J46" s="420"/>
      <c r="K46" s="421"/>
      <c r="L46" s="42"/>
      <c r="M46" s="479"/>
      <c r="N46" s="479"/>
      <c r="O46" s="479"/>
      <c r="P46" s="479"/>
      <c r="Q46" s="31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</row>
    <row r="47" spans="1:39" ht="12.75" customHeight="1">
      <c r="B47" s="20" t="s">
        <v>47</v>
      </c>
      <c r="C47" s="44"/>
      <c r="D47" s="38"/>
      <c r="E47" s="38"/>
      <c r="F47" s="38"/>
      <c r="G47" s="370">
        <v>1</v>
      </c>
      <c r="H47" s="178" t="s">
        <v>6</v>
      </c>
      <c r="I47" s="176"/>
      <c r="J47" s="420"/>
      <c r="K47" s="421"/>
      <c r="L47" s="42"/>
      <c r="M47" s="479"/>
      <c r="N47" s="479"/>
      <c r="O47" s="479"/>
      <c r="P47" s="479"/>
      <c r="Q47" s="319"/>
      <c r="R47" s="479"/>
      <c r="S47" s="479"/>
      <c r="T47" s="479"/>
      <c r="U47" s="479"/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79"/>
      <c r="AG47" s="479"/>
      <c r="AH47" s="479"/>
      <c r="AI47" s="479"/>
      <c r="AJ47" s="479"/>
      <c r="AK47" s="479"/>
      <c r="AL47" s="479"/>
      <c r="AM47" s="479"/>
    </row>
    <row r="48" spans="1:39" ht="12.75" customHeight="1">
      <c r="B48" s="20" t="s">
        <v>48</v>
      </c>
      <c r="C48" s="38"/>
      <c r="D48" s="38"/>
      <c r="E48" s="38"/>
      <c r="F48" s="38"/>
      <c r="G48" s="370">
        <v>1</v>
      </c>
      <c r="H48" s="178" t="s">
        <v>6</v>
      </c>
      <c r="I48" s="176"/>
      <c r="J48" s="420"/>
      <c r="K48" s="421"/>
      <c r="L48" s="42"/>
      <c r="M48" s="479"/>
      <c r="N48" s="479"/>
      <c r="O48" s="479"/>
      <c r="P48" s="479"/>
      <c r="Q48" s="319"/>
      <c r="R48" s="479"/>
      <c r="S48" s="479"/>
      <c r="T48" s="479"/>
      <c r="U48" s="479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9"/>
      <c r="AK48" s="479"/>
      <c r="AL48" s="479"/>
      <c r="AM48" s="479"/>
    </row>
    <row r="49" spans="1:39" ht="4.5" customHeight="1">
      <c r="A49" s="18"/>
      <c r="B49" s="18"/>
      <c r="C49" s="18"/>
      <c r="G49" s="179"/>
      <c r="H49" s="179"/>
      <c r="I49" s="179"/>
      <c r="K49" s="251"/>
      <c r="L49" s="42"/>
      <c r="M49" s="479"/>
      <c r="N49" s="479"/>
      <c r="O49" s="479"/>
      <c r="P49" s="479"/>
      <c r="Q49" s="31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  <c r="AM49" s="479"/>
    </row>
    <row r="50" spans="1:39" ht="12.75" customHeight="1">
      <c r="B50" s="371"/>
      <c r="C50" s="372" t="s">
        <v>189</v>
      </c>
      <c r="D50" s="38"/>
      <c r="E50" s="38"/>
      <c r="F50" s="38"/>
      <c r="G50" s="400">
        <v>0</v>
      </c>
      <c r="H50" s="178" t="s">
        <v>236</v>
      </c>
      <c r="I50" s="181"/>
      <c r="J50" s="423"/>
      <c r="K50" s="424"/>
      <c r="L50" s="1"/>
      <c r="M50" s="479"/>
      <c r="N50" s="479"/>
      <c r="O50" s="479"/>
      <c r="P50" s="479"/>
      <c r="Q50" s="31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79"/>
      <c r="AI50" s="479"/>
      <c r="AJ50" s="479"/>
      <c r="AK50" s="479"/>
      <c r="AL50" s="479"/>
      <c r="AM50" s="479"/>
    </row>
    <row r="51" spans="1:39" ht="12.75" customHeight="1">
      <c r="B51" s="371"/>
      <c r="C51" s="372" t="s">
        <v>190</v>
      </c>
      <c r="D51" s="38"/>
      <c r="E51" s="38"/>
      <c r="F51" s="38"/>
      <c r="G51" s="369">
        <v>1</v>
      </c>
      <c r="H51" s="178" t="s">
        <v>236</v>
      </c>
      <c r="I51" s="181"/>
      <c r="J51" s="420"/>
      <c r="K51" s="425"/>
      <c r="L51" s="1"/>
      <c r="M51" s="479"/>
      <c r="N51" s="479"/>
      <c r="O51" s="479"/>
      <c r="P51" s="479"/>
      <c r="Q51" s="31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</row>
    <row r="52" spans="1:39" ht="12.75" customHeight="1">
      <c r="B52" s="371"/>
      <c r="C52" s="372" t="s">
        <v>191</v>
      </c>
      <c r="D52" s="38"/>
      <c r="E52" s="38"/>
      <c r="F52" s="38"/>
      <c r="G52" s="369">
        <v>1</v>
      </c>
      <c r="H52" s="178" t="s">
        <v>236</v>
      </c>
      <c r="I52" s="181"/>
      <c r="J52" s="420"/>
      <c r="K52" s="425"/>
      <c r="L52" s="1"/>
      <c r="M52" s="479"/>
      <c r="N52" s="479"/>
      <c r="O52" s="479"/>
      <c r="P52" s="479"/>
      <c r="Q52" s="31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479"/>
      <c r="AF52" s="479"/>
      <c r="AG52" s="479"/>
      <c r="AH52" s="479"/>
      <c r="AI52" s="479"/>
      <c r="AJ52" s="479"/>
      <c r="AK52" s="479"/>
      <c r="AL52" s="479"/>
      <c r="AM52" s="479"/>
    </row>
    <row r="53" spans="1:39" ht="4.5" customHeight="1">
      <c r="A53" s="18"/>
      <c r="B53" s="18"/>
      <c r="C53" s="1"/>
      <c r="D53" s="181"/>
      <c r="E53" s="181"/>
      <c r="F53" s="181"/>
      <c r="G53" s="181"/>
      <c r="H53" s="181"/>
      <c r="I53" s="181"/>
      <c r="K53" s="251"/>
      <c r="L53" s="1"/>
      <c r="M53" s="479"/>
      <c r="N53" s="479"/>
      <c r="O53" s="479"/>
      <c r="P53" s="479"/>
      <c r="Q53" s="319"/>
      <c r="R53" s="479"/>
      <c r="S53" s="479"/>
      <c r="T53" s="479"/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479"/>
      <c r="AK53" s="479"/>
      <c r="AL53" s="479"/>
      <c r="AM53" s="479"/>
    </row>
    <row r="54" spans="1:39" ht="12.75" customHeight="1">
      <c r="B54" s="18" t="s">
        <v>44</v>
      </c>
      <c r="C54" s="1"/>
      <c r="D54" s="180"/>
      <c r="E54" s="181"/>
      <c r="F54" s="181"/>
      <c r="G54" s="199">
        <f>SUM(G45:G52)</f>
        <v>23</v>
      </c>
      <c r="H54" s="181"/>
      <c r="I54" s="181"/>
      <c r="K54" s="251"/>
      <c r="L54" s="1"/>
      <c r="M54" s="479"/>
      <c r="N54" s="479"/>
      <c r="O54" s="479"/>
      <c r="P54" s="479"/>
      <c r="Q54" s="31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79"/>
      <c r="AM54" s="479"/>
    </row>
    <row r="55" spans="1:39" ht="12.95" customHeight="1">
      <c r="B55" s="18"/>
      <c r="C55" s="1"/>
      <c r="D55" s="181"/>
      <c r="E55" s="181"/>
      <c r="F55" s="181"/>
      <c r="G55" s="181"/>
      <c r="H55" s="181"/>
      <c r="I55" s="181"/>
      <c r="K55" s="251"/>
      <c r="L55" s="1"/>
      <c r="M55" s="479"/>
      <c r="N55" s="479"/>
      <c r="O55" s="479"/>
      <c r="P55" s="479"/>
      <c r="Q55" s="319"/>
      <c r="R55" s="479"/>
      <c r="S55" s="479"/>
      <c r="T55" s="479"/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79"/>
      <c r="AM55" s="479"/>
    </row>
    <row r="56" spans="1:39" ht="12.95" customHeight="1">
      <c r="A56" s="174" t="s">
        <v>14</v>
      </c>
      <c r="B56" s="174"/>
      <c r="C56" s="173"/>
      <c r="D56" s="173"/>
      <c r="E56" s="173"/>
      <c r="F56" s="173"/>
      <c r="G56" s="173"/>
      <c r="H56" s="173"/>
      <c r="I56" s="173"/>
      <c r="J56" s="259"/>
      <c r="K56" s="1"/>
      <c r="M56" s="479"/>
      <c r="N56" s="479"/>
      <c r="O56" s="479"/>
      <c r="P56" s="479"/>
      <c r="Q56" s="319"/>
      <c r="R56" s="479"/>
      <c r="S56" s="479"/>
      <c r="T56" s="479"/>
      <c r="U56" s="479"/>
      <c r="V56" s="479"/>
      <c r="W56" s="479"/>
      <c r="X56" s="479"/>
      <c r="Y56" s="479"/>
      <c r="Z56" s="479"/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</row>
    <row r="57" spans="1:39" ht="4.5" customHeight="1">
      <c r="A57" s="174"/>
      <c r="B57" s="174"/>
      <c r="C57" s="174"/>
      <c r="D57" s="174"/>
      <c r="K57" s="1"/>
      <c r="M57" s="479"/>
      <c r="N57" s="479"/>
      <c r="O57" s="479"/>
      <c r="P57" s="479"/>
      <c r="Q57" s="319"/>
      <c r="R57" s="479"/>
      <c r="S57" s="479"/>
      <c r="T57" s="479"/>
      <c r="U57" s="479"/>
      <c r="V57" s="479"/>
      <c r="W57" s="479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79"/>
      <c r="AK57" s="479"/>
      <c r="AL57" s="479"/>
      <c r="AM57" s="479"/>
    </row>
    <row r="58" spans="1:39" ht="12.75" customHeight="1">
      <c r="A58" s="183" t="s">
        <v>11</v>
      </c>
      <c r="B58" s="183"/>
      <c r="C58" s="1"/>
      <c r="G58" s="213">
        <f>K37</f>
        <v>6600000</v>
      </c>
      <c r="K58" s="1"/>
      <c r="M58" s="479"/>
      <c r="N58" s="479"/>
      <c r="O58" s="479"/>
      <c r="P58" s="479"/>
      <c r="Q58" s="31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79"/>
      <c r="AL58" s="479"/>
      <c r="AM58" s="479"/>
    </row>
    <row r="59" spans="1:39" ht="8.1" customHeight="1">
      <c r="A59" s="18"/>
      <c r="B59" s="18"/>
      <c r="C59" s="18"/>
      <c r="D59" s="18"/>
      <c r="E59" s="18"/>
      <c r="F59" s="18"/>
      <c r="G59" s="180"/>
      <c r="K59"/>
      <c r="M59" s="479"/>
      <c r="N59" s="479"/>
      <c r="O59" s="479"/>
      <c r="P59" s="479"/>
      <c r="Q59" s="31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79"/>
      <c r="AL59" s="479"/>
      <c r="AM59" s="479"/>
    </row>
    <row r="60" spans="1:39" ht="12.75" customHeight="1">
      <c r="A60" s="18" t="s">
        <v>60</v>
      </c>
      <c r="B60" s="18"/>
      <c r="C60" s="18"/>
      <c r="G60" s="104">
        <f>0.03*G54+0.73</f>
        <v>1.42</v>
      </c>
      <c r="H60" s="122"/>
      <c r="I60" s="122"/>
      <c r="K60"/>
      <c r="M60" s="479"/>
      <c r="N60" s="479"/>
      <c r="O60" s="479"/>
      <c r="P60" s="479"/>
      <c r="Q60" s="31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79"/>
      <c r="AM60" s="479"/>
    </row>
    <row r="61" spans="1:39" ht="4.5" customHeight="1">
      <c r="A61" s="18"/>
      <c r="B61" s="18"/>
      <c r="C61" s="18"/>
      <c r="G61" s="29"/>
      <c r="H61" s="122"/>
      <c r="I61" s="122"/>
      <c r="K61"/>
      <c r="M61" s="479"/>
      <c r="N61" s="479"/>
      <c r="O61" s="479"/>
      <c r="P61" s="479"/>
      <c r="Q61" s="319"/>
      <c r="R61" s="479"/>
      <c r="S61" s="479"/>
      <c r="T61" s="479"/>
      <c r="U61" s="479"/>
      <c r="V61" s="479"/>
      <c r="W61" s="479"/>
      <c r="X61" s="479"/>
      <c r="Y61" s="479"/>
      <c r="Z61" s="479"/>
      <c r="AA61" s="479"/>
      <c r="AB61" s="479"/>
      <c r="AC61" s="479"/>
      <c r="AD61" s="479"/>
      <c r="AE61" s="479"/>
      <c r="AF61" s="479"/>
      <c r="AG61" s="479"/>
      <c r="AH61" s="479"/>
      <c r="AI61" s="479"/>
      <c r="AJ61" s="479"/>
      <c r="AK61" s="479"/>
      <c r="AL61" s="479"/>
      <c r="AM61" s="479"/>
    </row>
    <row r="62" spans="1:39" ht="12.75" customHeight="1">
      <c r="A62" s="18" t="s">
        <v>62</v>
      </c>
      <c r="B62" s="18"/>
      <c r="C62" s="18"/>
      <c r="G62" s="263">
        <f>ROUND(IF(G58&lt;2000000,202*G58^(-0.2248)*G60/100,(37.8*G58^(-0.109)*G60/100)),6)</f>
        <v>9.6928E-2</v>
      </c>
      <c r="K62"/>
      <c r="M62" s="479"/>
      <c r="N62" s="479"/>
      <c r="O62" s="479"/>
      <c r="P62" s="479"/>
      <c r="Q62" s="31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</row>
    <row r="63" spans="1:39" ht="18" customHeight="1">
      <c r="A63" s="18" t="s">
        <v>70</v>
      </c>
      <c r="B63" s="18"/>
      <c r="C63" s="18"/>
      <c r="G63" s="245">
        <f>202*G58^(-0.2248)*G60/100</f>
        <v>8.4062999999999999E-2</v>
      </c>
      <c r="H63" s="241" t="str">
        <f>IF(G58&lt;2000000,"(PL + ÖBA)","")</f>
        <v/>
      </c>
      <c r="I63" s="241"/>
      <c r="K63"/>
      <c r="M63" s="479"/>
      <c r="N63" s="479"/>
      <c r="O63" s="479"/>
      <c r="P63" s="479"/>
      <c r="Q63" s="31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79"/>
      <c r="AL63" s="479"/>
      <c r="AM63" s="479"/>
    </row>
    <row r="64" spans="1:39" ht="18" customHeight="1">
      <c r="A64" s="18" t="s">
        <v>71</v>
      </c>
      <c r="B64" s="18"/>
      <c r="C64" s="18"/>
      <c r="D64" s="18"/>
      <c r="G64" s="245">
        <f>37.8*G58^(-0.109)*G60/100</f>
        <v>9.6928E-2</v>
      </c>
      <c r="H64" s="264" t="str">
        <f>IF(G58&gt;1999999.99,"(PL + ÖBA)","")</f>
        <v>(PL + ÖBA)</v>
      </c>
      <c r="I64" s="264"/>
      <c r="K64"/>
      <c r="M64" s="479"/>
      <c r="N64" s="479"/>
      <c r="O64" s="479"/>
      <c r="P64" s="479"/>
      <c r="Q64" s="319"/>
      <c r="R64" s="479"/>
      <c r="S64" s="479"/>
      <c r="T64" s="479"/>
      <c r="U64" s="479"/>
      <c r="V64" s="479"/>
      <c r="W64" s="479"/>
      <c r="X64" s="479"/>
      <c r="Y64" s="479"/>
      <c r="Z64" s="479"/>
      <c r="AA64" s="479"/>
      <c r="AB64" s="479"/>
      <c r="AC64" s="479"/>
      <c r="AD64" s="479"/>
      <c r="AE64" s="479"/>
      <c r="AF64" s="479"/>
      <c r="AG64" s="479"/>
      <c r="AH64" s="479"/>
      <c r="AI64" s="479"/>
      <c r="AJ64" s="479"/>
      <c r="AK64" s="479"/>
      <c r="AL64" s="479"/>
      <c r="AM64" s="479"/>
    </row>
    <row r="65" spans="1:39" ht="3" customHeight="1">
      <c r="A65" s="18"/>
      <c r="B65" s="18"/>
      <c r="C65" s="18"/>
      <c r="G65" s="184"/>
      <c r="H65" s="184"/>
      <c r="I65" s="184"/>
      <c r="J65" s="184"/>
      <c r="K65" s="184"/>
      <c r="L65" s="184"/>
      <c r="M65" s="479"/>
      <c r="N65" s="479"/>
      <c r="O65" s="479"/>
      <c r="P65" s="479"/>
      <c r="Q65" s="319"/>
      <c r="R65" s="479"/>
      <c r="S65" s="479"/>
      <c r="T65" s="479"/>
      <c r="U65" s="479"/>
      <c r="V65" s="479"/>
      <c r="W65" s="479"/>
      <c r="X65" s="479"/>
      <c r="Y65" s="479"/>
      <c r="Z65" s="479"/>
      <c r="AA65" s="479"/>
      <c r="AB65" s="479"/>
      <c r="AC65" s="479"/>
      <c r="AD65" s="479"/>
      <c r="AE65" s="479"/>
      <c r="AF65" s="479"/>
      <c r="AG65" s="479"/>
      <c r="AH65" s="479"/>
      <c r="AI65" s="479"/>
      <c r="AJ65" s="479"/>
      <c r="AK65" s="479"/>
      <c r="AL65" s="479"/>
      <c r="AM65" s="479"/>
    </row>
    <row r="66" spans="1:39" ht="15.95" customHeight="1">
      <c r="A66" s="18" t="s">
        <v>109</v>
      </c>
      <c r="B66" s="18"/>
      <c r="C66" s="18"/>
      <c r="D66" s="18"/>
      <c r="G66" s="463">
        <v>0</v>
      </c>
      <c r="H66" s="198"/>
      <c r="I66" s="198"/>
      <c r="J66" s="242"/>
      <c r="K66" s="1"/>
      <c r="L66" s="1"/>
      <c r="M66" s="479"/>
      <c r="N66" s="479"/>
      <c r="O66" s="479"/>
      <c r="P66" s="479"/>
      <c r="Q66" s="31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79"/>
      <c r="AL66" s="479"/>
      <c r="AM66" s="479"/>
    </row>
    <row r="67" spans="1:39" ht="8.1" customHeight="1">
      <c r="A67" s="18"/>
      <c r="B67" s="18"/>
      <c r="C67" s="18"/>
      <c r="G67" s="184"/>
      <c r="H67" s="184"/>
      <c r="I67" s="184"/>
      <c r="K67"/>
      <c r="M67" s="479"/>
      <c r="N67" s="479"/>
      <c r="O67" s="479"/>
      <c r="P67" s="479"/>
      <c r="Q67" s="31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79"/>
      <c r="AL67" s="479"/>
      <c r="AM67" s="479"/>
    </row>
    <row r="68" spans="1:39" ht="15" customHeight="1">
      <c r="A68" s="21" t="s">
        <v>127</v>
      </c>
      <c r="B68" s="19"/>
      <c r="C68" s="19"/>
      <c r="D68" s="185"/>
      <c r="E68" s="185"/>
      <c r="F68" s="185"/>
      <c r="G68" s="186"/>
      <c r="H68" s="262">
        <f>G58*G62*(1+G66)</f>
        <v>639725</v>
      </c>
      <c r="I68" s="262"/>
      <c r="J68" s="48"/>
      <c r="K68" s="1"/>
      <c r="M68" s="334"/>
      <c r="N68" s="334"/>
      <c r="O68" s="334"/>
      <c r="P68" s="334"/>
      <c r="Q68" s="319"/>
      <c r="R68" s="334"/>
      <c r="S68" s="334"/>
      <c r="T68" s="334"/>
      <c r="U68" s="334"/>
      <c r="V68" s="334"/>
      <c r="W68" s="334"/>
      <c r="X68" s="334"/>
      <c r="Y68" s="334"/>
      <c r="Z68" s="334"/>
      <c r="AA68" s="334"/>
      <c r="AB68" s="334"/>
      <c r="AC68" s="334"/>
      <c r="AD68" s="334"/>
      <c r="AE68" s="334"/>
      <c r="AF68" s="334"/>
      <c r="AG68" s="334"/>
      <c r="AH68" s="334"/>
      <c r="AI68" s="334"/>
      <c r="AJ68" s="334"/>
      <c r="AK68" s="334"/>
      <c r="AL68" s="334"/>
      <c r="AM68" s="334"/>
    </row>
    <row r="69" spans="1:39" ht="8.25" customHeight="1">
      <c r="A69" s="24"/>
      <c r="B69" s="18"/>
      <c r="C69" s="18"/>
      <c r="D69" s="173"/>
      <c r="E69" s="173"/>
      <c r="F69" s="173"/>
      <c r="G69" s="187"/>
      <c r="H69" s="187"/>
      <c r="I69" s="187"/>
      <c r="K69" s="1"/>
      <c r="M69" s="491" t="s">
        <v>147</v>
      </c>
      <c r="N69" s="489"/>
      <c r="O69" s="489"/>
      <c r="P69" s="489" t="s">
        <v>209</v>
      </c>
      <c r="Q69" s="337"/>
      <c r="R69" s="489"/>
      <c r="S69" s="489"/>
      <c r="T69" s="489" t="s">
        <v>209</v>
      </c>
      <c r="U69" s="489"/>
      <c r="V69" s="489"/>
      <c r="W69" s="489"/>
      <c r="X69" s="489"/>
      <c r="Y69" s="489"/>
      <c r="Z69" s="489"/>
      <c r="AA69" s="489"/>
      <c r="AB69" s="489"/>
      <c r="AC69" s="489"/>
      <c r="AD69" s="489" t="s">
        <v>209</v>
      </c>
      <c r="AE69" s="489"/>
      <c r="AF69" s="489"/>
      <c r="AG69" s="489"/>
      <c r="AH69" s="489"/>
      <c r="AI69" s="489"/>
      <c r="AJ69" s="489"/>
      <c r="AK69" s="489"/>
      <c r="AL69" s="489"/>
      <c r="AM69" s="489"/>
    </row>
    <row r="70" spans="1:39" ht="12.75" customHeight="1">
      <c r="A70" s="24"/>
      <c r="B70" s="18"/>
      <c r="C70" s="18"/>
      <c r="D70" s="173"/>
      <c r="E70" s="283" t="s">
        <v>130</v>
      </c>
      <c r="F70" s="301" t="s">
        <v>134</v>
      </c>
      <c r="G70" s="175" t="s">
        <v>5</v>
      </c>
      <c r="H70" s="187"/>
      <c r="I70" s="187"/>
      <c r="K70" s="30"/>
      <c r="M70" s="493"/>
      <c r="N70" s="490"/>
      <c r="O70" s="490"/>
      <c r="P70" s="490"/>
      <c r="Q70" s="320"/>
      <c r="R70" s="490"/>
      <c r="S70" s="490"/>
      <c r="T70" s="490"/>
      <c r="U70" s="490"/>
      <c r="V70" s="490"/>
      <c r="W70" s="490"/>
      <c r="X70" s="490"/>
      <c r="Y70" s="490"/>
      <c r="Z70" s="490"/>
      <c r="AA70" s="490"/>
      <c r="AB70" s="490"/>
      <c r="AC70" s="490"/>
      <c r="AD70" s="490"/>
      <c r="AE70" s="490"/>
      <c r="AF70" s="490"/>
      <c r="AG70" s="490"/>
      <c r="AH70" s="490"/>
      <c r="AI70" s="490"/>
      <c r="AJ70" s="490"/>
      <c r="AK70" s="490"/>
      <c r="AL70" s="490"/>
      <c r="AM70" s="490"/>
    </row>
    <row r="71" spans="1:39" ht="12.75" customHeight="1">
      <c r="A71" s="173" t="s">
        <v>52</v>
      </c>
      <c r="B71" s="173"/>
      <c r="C71" s="188"/>
      <c r="E71" s="281">
        <v>0.02</v>
      </c>
      <c r="F71" s="302">
        <f>E71+M71</f>
        <v>3.5000000000000003E-2</v>
      </c>
      <c r="G71" s="331">
        <f>F71</f>
        <v>3.5000000000000003E-2</v>
      </c>
      <c r="H71" s="336">
        <f>$H$68*G71</f>
        <v>22390</v>
      </c>
      <c r="I71" s="336"/>
      <c r="J71" s="326"/>
      <c r="K71" s="327"/>
      <c r="L71" s="328"/>
      <c r="M71" s="329">
        <f t="shared" ref="M71:M80" si="1">SUMIF($N$69:$AM$69,"*",N71:AM71)</f>
        <v>1.4999999999999999E-2</v>
      </c>
      <c r="N71" s="399"/>
      <c r="O71" s="399"/>
      <c r="P71" s="399"/>
      <c r="Q71" s="330"/>
      <c r="R71" s="399"/>
      <c r="S71" s="399"/>
      <c r="T71" s="399">
        <v>1.4999999999999999E-2</v>
      </c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</row>
    <row r="72" spans="1:39" ht="12.75" customHeight="1">
      <c r="A72" s="173" t="s">
        <v>34</v>
      </c>
      <c r="B72" s="173"/>
      <c r="C72" s="188"/>
      <c r="E72" s="281">
        <v>0.09</v>
      </c>
      <c r="F72" s="302">
        <f t="shared" ref="F72:F80" si="2">E72+M72</f>
        <v>0.11</v>
      </c>
      <c r="G72" s="331">
        <f t="shared" ref="G72:G80" si="3">F72</f>
        <v>0.11</v>
      </c>
      <c r="H72" s="336">
        <f t="shared" ref="H72:H80" si="4">$H$68*G72</f>
        <v>70370</v>
      </c>
      <c r="I72" s="336"/>
      <c r="J72" s="326"/>
      <c r="K72" s="327"/>
      <c r="L72" s="328"/>
      <c r="M72" s="329">
        <f t="shared" si="1"/>
        <v>0.02</v>
      </c>
      <c r="N72" s="399"/>
      <c r="O72" s="399"/>
      <c r="P72" s="399">
        <v>0.01</v>
      </c>
      <c r="Q72" s="330"/>
      <c r="R72" s="399"/>
      <c r="S72" s="399"/>
      <c r="T72" s="399">
        <v>0.01</v>
      </c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</row>
    <row r="73" spans="1:39" ht="12.75" customHeight="1">
      <c r="A73" s="173" t="s">
        <v>35</v>
      </c>
      <c r="B73" s="173"/>
      <c r="C73" s="188"/>
      <c r="E73" s="281">
        <v>0.16</v>
      </c>
      <c r="F73" s="302">
        <f t="shared" si="2"/>
        <v>0.21</v>
      </c>
      <c r="G73" s="331">
        <f t="shared" si="3"/>
        <v>0.21</v>
      </c>
      <c r="H73" s="336">
        <f t="shared" si="4"/>
        <v>134342</v>
      </c>
      <c r="I73" s="336"/>
      <c r="J73" s="326"/>
      <c r="K73" s="327"/>
      <c r="L73" s="328"/>
      <c r="M73" s="329">
        <f t="shared" si="1"/>
        <v>0.05</v>
      </c>
      <c r="N73" s="399"/>
      <c r="O73" s="399"/>
      <c r="P73" s="399">
        <v>3.5000000000000003E-2</v>
      </c>
      <c r="Q73" s="330"/>
      <c r="R73" s="399"/>
      <c r="S73" s="399"/>
      <c r="T73" s="399">
        <v>1.4999999999999999E-2</v>
      </c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</row>
    <row r="74" spans="1:39" ht="12.75" customHeight="1">
      <c r="A74" s="173" t="s">
        <v>36</v>
      </c>
      <c r="B74" s="173"/>
      <c r="C74" s="188"/>
      <c r="E74" s="281">
        <v>0.05</v>
      </c>
      <c r="F74" s="302">
        <f t="shared" si="2"/>
        <v>0.05</v>
      </c>
      <c r="G74" s="331">
        <f t="shared" si="3"/>
        <v>0.05</v>
      </c>
      <c r="H74" s="336">
        <f t="shared" si="4"/>
        <v>31986</v>
      </c>
      <c r="I74" s="336"/>
      <c r="J74" s="326"/>
      <c r="K74" s="327"/>
      <c r="L74" s="328"/>
      <c r="M74" s="329">
        <f t="shared" si="1"/>
        <v>0</v>
      </c>
      <c r="N74" s="399"/>
      <c r="O74" s="399"/>
      <c r="P74" s="399"/>
      <c r="Q74" s="330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</row>
    <row r="75" spans="1:39" ht="12.75" customHeight="1">
      <c r="A75" s="173" t="s">
        <v>37</v>
      </c>
      <c r="B75" s="173"/>
      <c r="C75" s="188"/>
      <c r="E75" s="281">
        <v>0.2</v>
      </c>
      <c r="F75" s="302">
        <f t="shared" si="2"/>
        <v>0.23</v>
      </c>
      <c r="G75" s="331">
        <f t="shared" si="3"/>
        <v>0.23</v>
      </c>
      <c r="H75" s="336">
        <f t="shared" si="4"/>
        <v>147137</v>
      </c>
      <c r="I75" s="336"/>
      <c r="J75" s="326"/>
      <c r="K75" s="327"/>
      <c r="L75" s="328"/>
      <c r="M75" s="329">
        <f t="shared" si="1"/>
        <v>0.03</v>
      </c>
      <c r="N75" s="399"/>
      <c r="O75" s="399"/>
      <c r="P75" s="399"/>
      <c r="Q75" s="330"/>
      <c r="R75" s="399"/>
      <c r="S75" s="399"/>
      <c r="T75" s="399">
        <v>0.01</v>
      </c>
      <c r="U75" s="399"/>
      <c r="V75" s="399"/>
      <c r="W75" s="399"/>
      <c r="X75" s="399"/>
      <c r="Y75" s="399"/>
      <c r="Z75" s="399"/>
      <c r="AA75" s="399"/>
      <c r="AB75" s="399"/>
      <c r="AC75" s="399"/>
      <c r="AD75" s="399">
        <v>0.02</v>
      </c>
      <c r="AE75" s="399"/>
      <c r="AF75" s="399"/>
      <c r="AG75" s="399"/>
      <c r="AH75" s="399"/>
      <c r="AI75" s="399"/>
      <c r="AJ75" s="399"/>
      <c r="AK75" s="399"/>
      <c r="AL75" s="399"/>
      <c r="AM75" s="399"/>
    </row>
    <row r="76" spans="1:39" ht="12.75" customHeight="1">
      <c r="A76" s="173" t="s">
        <v>38</v>
      </c>
      <c r="B76" s="173"/>
      <c r="C76" s="188"/>
      <c r="E76" s="281">
        <v>0.05</v>
      </c>
      <c r="F76" s="302">
        <f t="shared" si="2"/>
        <v>0.05</v>
      </c>
      <c r="G76" s="331">
        <f t="shared" si="3"/>
        <v>0.05</v>
      </c>
      <c r="H76" s="336">
        <f t="shared" si="4"/>
        <v>31986</v>
      </c>
      <c r="I76" s="336"/>
      <c r="J76" s="326"/>
      <c r="K76" s="327"/>
      <c r="L76" s="328"/>
      <c r="M76" s="329">
        <f t="shared" si="1"/>
        <v>0</v>
      </c>
      <c r="N76" s="399"/>
      <c r="O76" s="399"/>
      <c r="P76" s="399"/>
      <c r="Q76" s="330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</row>
    <row r="77" spans="1:39" ht="12.75" customHeight="1">
      <c r="A77" s="173" t="s">
        <v>56</v>
      </c>
      <c r="B77" s="173"/>
      <c r="C77" s="188"/>
      <c r="E77" s="281">
        <v>0.02</v>
      </c>
      <c r="F77" s="302">
        <f t="shared" si="2"/>
        <v>0.02</v>
      </c>
      <c r="G77" s="331">
        <f t="shared" si="3"/>
        <v>0.02</v>
      </c>
      <c r="H77" s="336">
        <f t="shared" si="4"/>
        <v>12795</v>
      </c>
      <c r="I77" s="336"/>
      <c r="J77" s="326"/>
      <c r="K77" s="327"/>
      <c r="L77" s="328"/>
      <c r="M77" s="329">
        <f t="shared" si="1"/>
        <v>0</v>
      </c>
      <c r="N77" s="399"/>
      <c r="O77" s="399"/>
      <c r="P77" s="399"/>
      <c r="Q77" s="330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</row>
    <row r="78" spans="1:39" ht="12.75" customHeight="1">
      <c r="A78" s="173" t="s">
        <v>53</v>
      </c>
      <c r="B78" s="173"/>
      <c r="C78" s="188"/>
      <c r="E78" s="281">
        <v>0.04</v>
      </c>
      <c r="F78" s="302">
        <f t="shared" si="2"/>
        <v>5.5E-2</v>
      </c>
      <c r="G78" s="331">
        <f t="shared" si="3"/>
        <v>5.5E-2</v>
      </c>
      <c r="H78" s="336">
        <f t="shared" si="4"/>
        <v>35185</v>
      </c>
      <c r="I78" s="336"/>
      <c r="J78" s="326"/>
      <c r="K78" s="327"/>
      <c r="L78" s="328"/>
      <c r="M78" s="329">
        <f t="shared" si="1"/>
        <v>1.4999999999999999E-2</v>
      </c>
      <c r="N78" s="399"/>
      <c r="O78" s="399"/>
      <c r="P78" s="399"/>
      <c r="Q78" s="330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>
        <v>1.4999999999999999E-2</v>
      </c>
      <c r="AE78" s="399"/>
      <c r="AF78" s="399"/>
      <c r="AG78" s="399"/>
      <c r="AH78" s="399"/>
      <c r="AI78" s="399"/>
      <c r="AJ78" s="399"/>
      <c r="AK78" s="399"/>
      <c r="AL78" s="399"/>
      <c r="AM78" s="399"/>
    </row>
    <row r="79" spans="1:39" ht="12.75" customHeight="1">
      <c r="A79" s="173" t="s">
        <v>61</v>
      </c>
      <c r="B79" s="173"/>
      <c r="C79" s="188"/>
      <c r="E79" s="281">
        <v>0.35</v>
      </c>
      <c r="F79" s="302">
        <f t="shared" si="2"/>
        <v>0.35</v>
      </c>
      <c r="G79" s="331">
        <f t="shared" si="3"/>
        <v>0.35</v>
      </c>
      <c r="H79" s="336">
        <f t="shared" si="4"/>
        <v>223904</v>
      </c>
      <c r="I79" s="336"/>
      <c r="J79" s="326"/>
      <c r="K79" s="327"/>
      <c r="L79" s="328"/>
      <c r="M79" s="329">
        <f t="shared" si="1"/>
        <v>0</v>
      </c>
      <c r="N79" s="399"/>
      <c r="O79" s="399"/>
      <c r="P79" s="399"/>
      <c r="Q79" s="330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</row>
    <row r="80" spans="1:39" ht="12.75" customHeight="1">
      <c r="A80" s="185" t="s">
        <v>54</v>
      </c>
      <c r="B80" s="185"/>
      <c r="C80" s="189"/>
      <c r="D80" s="37"/>
      <c r="E80" s="282">
        <v>0.02</v>
      </c>
      <c r="F80" s="303">
        <f t="shared" si="2"/>
        <v>0.02</v>
      </c>
      <c r="G80" s="331">
        <f t="shared" si="3"/>
        <v>0.02</v>
      </c>
      <c r="H80" s="336">
        <f t="shared" si="4"/>
        <v>12795</v>
      </c>
      <c r="I80" s="336"/>
      <c r="J80" s="326"/>
      <c r="K80" s="327"/>
      <c r="L80" s="328"/>
      <c r="M80" s="329">
        <f t="shared" si="1"/>
        <v>0</v>
      </c>
      <c r="N80" s="399"/>
      <c r="O80" s="399"/>
      <c r="P80" s="399"/>
      <c r="Q80" s="330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</row>
    <row r="81" spans="1:39" ht="12.75" customHeight="1">
      <c r="A81" s="190" t="s">
        <v>43</v>
      </c>
      <c r="B81" s="173"/>
      <c r="C81" s="18"/>
      <c r="E81" s="302">
        <f>SUM(E71:E80)</f>
        <v>1</v>
      </c>
      <c r="F81" s="302">
        <f>SUM(F71:F80)</f>
        <v>1.1299999999999999</v>
      </c>
      <c r="G81" s="191">
        <f>SUM(G71:G80)</f>
        <v>1.1299999999999999</v>
      </c>
      <c r="H81" s="194">
        <f>SUM(H71:H80)</f>
        <v>722890</v>
      </c>
      <c r="I81" s="194"/>
      <c r="K81" s="103">
        <f>H81</f>
        <v>722890</v>
      </c>
      <c r="M81" s="338">
        <f>SUM(M71:M80)</f>
        <v>0.13</v>
      </c>
      <c r="N81" s="338">
        <f t="shared" ref="N81:AI81" si="5">SUM(N71:N80)</f>
        <v>0</v>
      </c>
      <c r="O81" s="338">
        <f t="shared" si="5"/>
        <v>0</v>
      </c>
      <c r="P81" s="338">
        <f t="shared" si="5"/>
        <v>4.4999999999999998E-2</v>
      </c>
      <c r="Q81" s="340"/>
      <c r="R81" s="338">
        <f t="shared" si="5"/>
        <v>0</v>
      </c>
      <c r="S81" s="338">
        <f>SUM(S71:S80)</f>
        <v>0</v>
      </c>
      <c r="T81" s="338">
        <f>SUM(T71:T80)</f>
        <v>0.05</v>
      </c>
      <c r="U81" s="338">
        <f>SUM(U71:U80)</f>
        <v>0</v>
      </c>
      <c r="V81" s="338">
        <f>SUM(V71:V80)</f>
        <v>0</v>
      </c>
      <c r="W81" s="338">
        <f t="shared" si="5"/>
        <v>0</v>
      </c>
      <c r="X81" s="338">
        <f t="shared" si="5"/>
        <v>0</v>
      </c>
      <c r="Y81" s="338">
        <f t="shared" si="5"/>
        <v>0</v>
      </c>
      <c r="Z81" s="338">
        <f t="shared" si="5"/>
        <v>0</v>
      </c>
      <c r="AA81" s="338">
        <f t="shared" si="5"/>
        <v>0</v>
      </c>
      <c r="AB81" s="338">
        <f t="shared" si="5"/>
        <v>0</v>
      </c>
      <c r="AC81" s="338">
        <f t="shared" si="5"/>
        <v>0</v>
      </c>
      <c r="AD81" s="338">
        <f t="shared" si="5"/>
        <v>3.5000000000000003E-2</v>
      </c>
      <c r="AE81" s="338">
        <f>SUM(AE71:AE80)</f>
        <v>0</v>
      </c>
      <c r="AF81" s="338">
        <f>SUM(AF71:AF80)</f>
        <v>0</v>
      </c>
      <c r="AG81" s="338">
        <f t="shared" si="5"/>
        <v>0</v>
      </c>
      <c r="AH81" s="338">
        <f t="shared" si="5"/>
        <v>0</v>
      </c>
      <c r="AI81" s="338">
        <f t="shared" si="5"/>
        <v>0</v>
      </c>
      <c r="AJ81" s="338">
        <f>SUM(AJ71:AJ80)</f>
        <v>0</v>
      </c>
      <c r="AK81" s="338">
        <f>SUM(AK71:AK80)</f>
        <v>0</v>
      </c>
      <c r="AL81" s="338">
        <f>SUM(AL71:AL80)</f>
        <v>0</v>
      </c>
      <c r="AM81" s="338">
        <f>SUM(AM71:AM80)</f>
        <v>0</v>
      </c>
    </row>
    <row r="82" spans="1:39" ht="12.75" customHeight="1">
      <c r="G82" s="113"/>
      <c r="K82"/>
      <c r="Q82" s="24"/>
    </row>
    <row r="83" spans="1:39" ht="12.75" customHeight="1">
      <c r="A83" s="457" t="s">
        <v>255</v>
      </c>
      <c r="B83" s="188"/>
      <c r="C83"/>
      <c r="E83" s="341">
        <v>0.02</v>
      </c>
      <c r="G83" s="378">
        <v>0</v>
      </c>
      <c r="H83" s="257">
        <f>$H$68*G83</f>
        <v>0</v>
      </c>
      <c r="K83"/>
      <c r="Q83" s="24"/>
    </row>
    <row r="84" spans="1:39" ht="12.75" customHeight="1">
      <c r="A84" s="457" t="s">
        <v>256</v>
      </c>
      <c r="B84" s="188"/>
      <c r="C84"/>
      <c r="E84" s="341">
        <v>1.4999999999999999E-2</v>
      </c>
      <c r="G84" s="380">
        <v>1.4999999999999999E-2</v>
      </c>
      <c r="H84" s="257">
        <f t="shared" ref="H84:H89" si="6">$H$68*G84</f>
        <v>9596</v>
      </c>
      <c r="K84"/>
      <c r="Q84" s="24"/>
    </row>
    <row r="85" spans="1:39" ht="12.75" customHeight="1">
      <c r="A85" s="457" t="s">
        <v>257</v>
      </c>
      <c r="B85" s="188"/>
      <c r="C85"/>
      <c r="E85" s="341">
        <v>2.5000000000000001E-2</v>
      </c>
      <c r="G85" s="380">
        <v>2.5000000000000001E-2</v>
      </c>
      <c r="H85" s="257">
        <f t="shared" si="6"/>
        <v>15993</v>
      </c>
      <c r="K85"/>
      <c r="Q85" s="24"/>
    </row>
    <row r="86" spans="1:39" ht="12.75" customHeight="1">
      <c r="A86" s="457" t="s">
        <v>258</v>
      </c>
      <c r="B86" s="188"/>
      <c r="C86"/>
      <c r="E86" s="341">
        <v>0.03</v>
      </c>
      <c r="G86" s="449">
        <v>0</v>
      </c>
      <c r="H86" s="257">
        <f t="shared" si="6"/>
        <v>0</v>
      </c>
      <c r="K86"/>
      <c r="Q86" s="24"/>
    </row>
    <row r="87" spans="1:39" ht="12.75" customHeight="1">
      <c r="A87" s="457" t="s">
        <v>259</v>
      </c>
      <c r="B87" s="188"/>
      <c r="C87"/>
      <c r="E87" s="341">
        <v>0.02</v>
      </c>
      <c r="G87" s="448">
        <v>0</v>
      </c>
      <c r="H87" s="257">
        <f t="shared" si="6"/>
        <v>0</v>
      </c>
      <c r="K87"/>
      <c r="Q87" s="24"/>
    </row>
    <row r="88" spans="1:39" ht="12.75" customHeight="1">
      <c r="A88" s="457" t="s">
        <v>260</v>
      </c>
      <c r="B88" s="188"/>
      <c r="C88"/>
      <c r="E88" s="379">
        <v>0.01</v>
      </c>
      <c r="G88" s="448">
        <v>0</v>
      </c>
      <c r="H88" s="257">
        <f t="shared" si="6"/>
        <v>0</v>
      </c>
      <c r="K88"/>
      <c r="Q88" s="24"/>
    </row>
    <row r="89" spans="1:39" ht="12.75" customHeight="1">
      <c r="A89" s="457" t="s">
        <v>261</v>
      </c>
      <c r="B89" s="188"/>
      <c r="C89"/>
      <c r="E89" s="379">
        <v>0.01</v>
      </c>
      <c r="G89" s="448">
        <v>0</v>
      </c>
      <c r="H89" s="257">
        <f t="shared" si="6"/>
        <v>0</v>
      </c>
      <c r="K89"/>
      <c r="Q89" s="24"/>
    </row>
    <row r="90" spans="1:39" ht="12.75" customHeight="1">
      <c r="A90" s="458" t="s">
        <v>262</v>
      </c>
      <c r="B90" s="189"/>
      <c r="C90" s="37"/>
      <c r="D90" s="37"/>
      <c r="E90" s="389">
        <v>0.04</v>
      </c>
      <c r="F90" s="37"/>
      <c r="G90" s="382">
        <v>0.04</v>
      </c>
      <c r="H90" s="383">
        <f>$H$68*G90</f>
        <v>25589</v>
      </c>
      <c r="K90"/>
      <c r="Q90" s="24"/>
    </row>
    <row r="91" spans="1:39" ht="12.75" customHeight="1">
      <c r="A91" s="452" t="s">
        <v>254</v>
      </c>
      <c r="B91" s="452"/>
      <c r="C91" s="452"/>
      <c r="E91" s="456">
        <f>SUM(E81:E90)</f>
        <v>1.17</v>
      </c>
      <c r="G91" s="191">
        <f>SUM(G81:G90)</f>
        <v>1.21</v>
      </c>
      <c r="H91" s="415">
        <f>SUM(H83:H90)+H81</f>
        <v>774068</v>
      </c>
      <c r="K91" s="453">
        <f>H91</f>
        <v>774068</v>
      </c>
      <c r="Q91" s="24"/>
    </row>
    <row r="92" spans="1:39" ht="12.75" customHeight="1">
      <c r="G92" s="113"/>
      <c r="K92"/>
      <c r="Q92" s="24"/>
    </row>
    <row r="93" spans="1:39" ht="12.75" customHeight="1">
      <c r="A93" s="34" t="s">
        <v>102</v>
      </c>
      <c r="G93" s="243">
        <v>0</v>
      </c>
      <c r="H93" s="244">
        <v>0</v>
      </c>
      <c r="I93" s="244"/>
      <c r="K93" s="103">
        <f>G93*H93</f>
        <v>0</v>
      </c>
    </row>
    <row r="94" spans="1:39" ht="12.75" customHeight="1">
      <c r="G94" s="113"/>
      <c r="K94"/>
    </row>
    <row r="95" spans="1:39" s="24" customFormat="1" ht="12.75">
      <c r="A95" s="98" t="s">
        <v>110</v>
      </c>
      <c r="B95" s="99"/>
      <c r="C95" s="100"/>
      <c r="D95" s="100"/>
      <c r="E95" s="101"/>
      <c r="F95" s="102"/>
      <c r="G95" s="114"/>
      <c r="H95" s="101"/>
      <c r="I95" s="101"/>
      <c r="J95" s="101"/>
      <c r="K95" s="103">
        <f>K91+K93</f>
        <v>774068</v>
      </c>
    </row>
    <row r="96" spans="1:39" s="24" customFormat="1" ht="4.5" customHeight="1">
      <c r="B96" s="25"/>
      <c r="C96" s="26"/>
      <c r="D96" s="26"/>
      <c r="E96" s="49"/>
      <c r="F96" s="50"/>
      <c r="G96" s="51"/>
      <c r="H96" s="51"/>
      <c r="I96" s="51"/>
      <c r="K96" s="95"/>
    </row>
    <row r="97" spans="1:11" s="24" customFormat="1" ht="12.75">
      <c r="A97" s="52" t="s">
        <v>12</v>
      </c>
      <c r="B97" s="25"/>
      <c r="C97" s="26"/>
      <c r="D97" s="26"/>
      <c r="E97" s="50"/>
      <c r="F97" s="50"/>
      <c r="G97" s="237">
        <v>0.04</v>
      </c>
      <c r="H97" s="51"/>
      <c r="I97" s="51"/>
      <c r="K97" s="96">
        <f>ROUND(K95*G97,2)</f>
        <v>30963</v>
      </c>
    </row>
    <row r="98" spans="1:11" s="24" customFormat="1" ht="3" customHeight="1">
      <c r="A98" s="53"/>
      <c r="B98" s="54"/>
      <c r="C98" s="55"/>
      <c r="D98" s="55"/>
      <c r="E98" s="59"/>
      <c r="F98" s="59"/>
      <c r="G98" s="238"/>
      <c r="H98" s="67"/>
      <c r="I98" s="67"/>
      <c r="J98" s="53"/>
      <c r="K98" s="97"/>
    </row>
    <row r="99" spans="1:11" s="24" customFormat="1" ht="3" customHeight="1">
      <c r="B99" s="25"/>
      <c r="C99" s="26"/>
      <c r="D99" s="26"/>
      <c r="E99" s="60"/>
      <c r="F99" s="60"/>
      <c r="G99" s="239"/>
      <c r="H99" s="68"/>
      <c r="I99" s="68"/>
      <c r="J99" s="61"/>
      <c r="K99" s="95"/>
    </row>
    <row r="100" spans="1:11" s="24" customFormat="1" ht="12.75">
      <c r="A100" s="56" t="s">
        <v>111</v>
      </c>
      <c r="B100" s="57"/>
      <c r="C100" s="58"/>
      <c r="D100" s="58"/>
      <c r="E100" s="27"/>
      <c r="F100" s="27"/>
      <c r="G100" s="236"/>
      <c r="H100" s="51"/>
      <c r="I100" s="51"/>
      <c r="K100" s="96">
        <f>K95+K97</f>
        <v>805031</v>
      </c>
    </row>
    <row r="101" spans="1:11" s="24" customFormat="1" ht="12.75">
      <c r="A101" s="24" t="s">
        <v>13</v>
      </c>
      <c r="B101" s="25"/>
      <c r="D101" s="26"/>
      <c r="E101" s="27"/>
      <c r="F101" s="27"/>
      <c r="G101" s="28">
        <v>0.2</v>
      </c>
      <c r="H101" s="28"/>
      <c r="I101" s="28"/>
      <c r="K101" s="96">
        <f>ROUND(K100*G101,2)</f>
        <v>161006</v>
      </c>
    </row>
    <row r="102" spans="1:11" s="24" customFormat="1" ht="3" customHeight="1">
      <c r="B102" s="25"/>
      <c r="C102" s="26"/>
      <c r="D102" s="26"/>
      <c r="E102" s="27"/>
      <c r="F102" s="27"/>
      <c r="G102" s="51"/>
      <c r="H102" s="51"/>
      <c r="I102" s="51"/>
      <c r="K102" s="95"/>
    </row>
    <row r="103" spans="1:11" s="24" customFormat="1" ht="12.75">
      <c r="A103" s="202" t="s">
        <v>112</v>
      </c>
      <c r="B103" s="214"/>
      <c r="C103" s="203"/>
      <c r="D103" s="203"/>
      <c r="E103" s="204"/>
      <c r="F103" s="205"/>
      <c r="G103" s="206"/>
      <c r="H103" s="206"/>
      <c r="I103" s="206"/>
      <c r="J103" s="204"/>
      <c r="K103" s="207">
        <f>SUM(K99:K101)</f>
        <v>966037</v>
      </c>
    </row>
    <row r="104" spans="1:11" ht="5.0999999999999996" customHeight="1"/>
    <row r="105" spans="1:11">
      <c r="A105" s="216" t="s">
        <v>86</v>
      </c>
      <c r="G105" s="261">
        <f>K100/G33</f>
        <v>2.3172999999999999E-2</v>
      </c>
    </row>
  </sheetData>
  <sheetProtection algorithmName="SHA-512" hashValue="Z5Vx0u8KP2uf+FAAHWDJ9cy2dlk56ZQ36CfWlhTmmIcOVFTgCaVLD+lOgdSgBMk7PUspUWbQXQ8MHbF/I8E0Dg==" saltValue="vSB7vym2ohiiRlch4qkNmg==" spinCount="100000" sheet="1"/>
  <mergeCells count="78">
    <mergeCell ref="AE44:AE67"/>
    <mergeCell ref="AF44:AF67"/>
    <mergeCell ref="AM44:AM67"/>
    <mergeCell ref="AG15:AL15"/>
    <mergeCell ref="AG44:AG67"/>
    <mergeCell ref="AH44:AH67"/>
    <mergeCell ref="AI44:AI67"/>
    <mergeCell ref="AJ44:AJ67"/>
    <mergeCell ref="AK44:AK67"/>
    <mergeCell ref="AL44:AL67"/>
    <mergeCell ref="Z44:Z67"/>
    <mergeCell ref="AA44:AA67"/>
    <mergeCell ref="AB44:AB67"/>
    <mergeCell ref="AC44:AC67"/>
    <mergeCell ref="AD44:AD67"/>
    <mergeCell ref="U44:U67"/>
    <mergeCell ref="V44:V67"/>
    <mergeCell ref="W44:W67"/>
    <mergeCell ref="X44:X67"/>
    <mergeCell ref="Y44:Y67"/>
    <mergeCell ref="T44:T67"/>
    <mergeCell ref="M44:M67"/>
    <mergeCell ref="N44:N67"/>
    <mergeCell ref="O44:O67"/>
    <mergeCell ref="P44:P67"/>
    <mergeCell ref="R44:R67"/>
    <mergeCell ref="A27:B27"/>
    <mergeCell ref="A29:B29"/>
    <mergeCell ref="J44:K44"/>
    <mergeCell ref="S44:S67"/>
    <mergeCell ref="J2:K2"/>
    <mergeCell ref="A16:B16"/>
    <mergeCell ref="A17:B17"/>
    <mergeCell ref="A18:B18"/>
    <mergeCell ref="A19:B19"/>
    <mergeCell ref="A14:B14"/>
    <mergeCell ref="A7:B7"/>
    <mergeCell ref="A9:B9"/>
    <mergeCell ref="A11:B11"/>
    <mergeCell ref="A12:B12"/>
    <mergeCell ref="A13:B13"/>
    <mergeCell ref="A15:B15"/>
    <mergeCell ref="AE3:AF6"/>
    <mergeCell ref="AG3:AL6"/>
    <mergeCell ref="AG7:AJ8"/>
    <mergeCell ref="AG13:AL13"/>
    <mergeCell ref="AE7:AF8"/>
    <mergeCell ref="M69:M70"/>
    <mergeCell ref="N69:N70"/>
    <mergeCell ref="O69:O70"/>
    <mergeCell ref="P69:P70"/>
    <mergeCell ref="A35:B35"/>
    <mergeCell ref="A21:B21"/>
    <mergeCell ref="A23:B23"/>
    <mergeCell ref="A25:B25"/>
    <mergeCell ref="A31:B31"/>
    <mergeCell ref="AC69:AC70"/>
    <mergeCell ref="R69:R70"/>
    <mergeCell ref="S69:S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AD69:AD70"/>
    <mergeCell ref="AE69:AE70"/>
    <mergeCell ref="AL69:AL70"/>
    <mergeCell ref="AM69:AM70"/>
    <mergeCell ref="AF69:AF70"/>
    <mergeCell ref="AG69:AG70"/>
    <mergeCell ref="AH69:AH70"/>
    <mergeCell ref="AI69:AI70"/>
    <mergeCell ref="AJ69:AJ70"/>
    <mergeCell ref="AK69:AK70"/>
  </mergeCells>
  <conditionalFormatting sqref="G63">
    <cfRule type="expression" dxfId="5" priority="8" stopIfTrue="1">
      <formula>$G$58&gt;1999999.99</formula>
    </cfRule>
  </conditionalFormatting>
  <conditionalFormatting sqref="G64">
    <cfRule type="expression" dxfId="4" priority="7" stopIfTrue="1">
      <formula>$G$58&lt;2000000</formula>
    </cfRule>
  </conditionalFormatting>
  <conditionalFormatting sqref="N69:P70">
    <cfRule type="containsText" dxfId="3" priority="5" stopIfTrue="1" operator="containsText" text="x">
      <formula>NOT(ISERROR(SEARCH("x",N69)))</formula>
    </cfRule>
  </conditionalFormatting>
  <conditionalFormatting sqref="N71:P80">
    <cfRule type="expression" dxfId="2" priority="2" stopIfTrue="1">
      <formula>IF(N$69="x",TRUE())</formula>
    </cfRule>
  </conditionalFormatting>
  <conditionalFormatting sqref="R69:AM70">
    <cfRule type="containsText" dxfId="1" priority="4" stopIfTrue="1" operator="containsText" text="x">
      <formula>NOT(ISERROR(SEARCH("x",R69)))</formula>
    </cfRule>
  </conditionalFormatting>
  <conditionalFormatting sqref="R71:AM80">
    <cfRule type="expression" dxfId="0" priority="1" stopIfTrue="1">
      <formula>IF(R$69="x",TRUE())</formula>
    </cfRule>
  </conditionalFormatting>
  <pageMargins left="0.59055118110236227" right="0.43307086614173229" top="0.62992125984251968" bottom="0.70866141732283472" header="0.31496062992125984" footer="0.31496062992125984"/>
  <pageSetup paperSize="8" scale="61" pageOrder="overThenDown" orientation="landscape" r:id="rId1"/>
  <headerFooter>
    <oddHeader>&amp;L&amp;"Arial,Fett"&amp;K01+018Angebot Generalplaner gesamt  (GP 2b + Planung + ÖBA) mit BIM
&amp;"Arial,Standard"(TA Anlagengruppen gesamt)&amp;R&amp;"Arial,Standard"&amp;K01+019Version 4
Stand: 09.08.2024</oddHeader>
    <oddFooter>&amp;L&amp;"Arial,Fett"&amp;K01+032LM.VM.2023&amp;"Arial,Standard"  | &amp;A |  Angebotsformular mit BIM&amp;R&amp;"Arial,Standard"&amp;K01+032&amp;P/&amp;N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406" r:id="rId4" name="Scroll Bar 1278">
              <controlPr defaultSize="0" autoPict="0">
                <anchor moveWithCells="1">
                  <from>
                    <xdr:col>9</xdr:col>
                    <xdr:colOff>9525</xdr:colOff>
                    <xdr:row>44</xdr:row>
                    <xdr:rowOff>28575</xdr:rowOff>
                  </from>
                  <to>
                    <xdr:col>10</xdr:col>
                    <xdr:colOff>1123950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7" r:id="rId5" name="Scroll Bar 1279">
              <controlPr defaultSize="0" autoPict="0">
                <anchor moveWithCells="1">
                  <from>
                    <xdr:col>9</xdr:col>
                    <xdr:colOff>19050</xdr:colOff>
                    <xdr:row>45</xdr:row>
                    <xdr:rowOff>28575</xdr:rowOff>
                  </from>
                  <to>
                    <xdr:col>10</xdr:col>
                    <xdr:colOff>1114425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8" r:id="rId6" name="Scroll Bar 1280">
              <controlPr defaultSize="0" autoPict="0">
                <anchor moveWithCells="1">
                  <from>
                    <xdr:col>9</xdr:col>
                    <xdr:colOff>19050</xdr:colOff>
                    <xdr:row>46</xdr:row>
                    <xdr:rowOff>28575</xdr:rowOff>
                  </from>
                  <to>
                    <xdr:col>10</xdr:col>
                    <xdr:colOff>1104900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9" r:id="rId7" name="Scroll Bar 1281">
              <controlPr defaultSize="0" autoPict="0">
                <anchor moveWithCells="1">
                  <from>
                    <xdr:col>9</xdr:col>
                    <xdr:colOff>19050</xdr:colOff>
                    <xdr:row>47</xdr:row>
                    <xdr:rowOff>28575</xdr:rowOff>
                  </from>
                  <to>
                    <xdr:col>10</xdr:col>
                    <xdr:colOff>1114425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0" r:id="rId8" name="Scroll Bar 1282">
              <controlPr defaultSize="0" autoPict="0">
                <anchor moveWithCells="1">
                  <from>
                    <xdr:col>9</xdr:col>
                    <xdr:colOff>19050</xdr:colOff>
                    <xdr:row>49</xdr:row>
                    <xdr:rowOff>28575</xdr:rowOff>
                  </from>
                  <to>
                    <xdr:col>10</xdr:col>
                    <xdr:colOff>1114425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1" r:id="rId9" name="Scroll Bar 1283">
              <controlPr defaultSize="0" autoPict="0">
                <anchor moveWithCells="1">
                  <from>
                    <xdr:col>9</xdr:col>
                    <xdr:colOff>19050</xdr:colOff>
                    <xdr:row>50</xdr:row>
                    <xdr:rowOff>28575</xdr:rowOff>
                  </from>
                  <to>
                    <xdr:col>10</xdr:col>
                    <xdr:colOff>1123950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2" r:id="rId10" name="Scroll Bar 1284">
              <controlPr defaultSize="0" autoPict="0">
                <anchor moveWithCells="1">
                  <from>
                    <xdr:col>9</xdr:col>
                    <xdr:colOff>19050</xdr:colOff>
                    <xdr:row>51</xdr:row>
                    <xdr:rowOff>28575</xdr:rowOff>
                  </from>
                  <to>
                    <xdr:col>10</xdr:col>
                    <xdr:colOff>1123950</xdr:colOff>
                    <xdr:row>51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E77F43C0592E4EB9B74EB0144487D1" ma:contentTypeVersion="19" ma:contentTypeDescription="Ein neues Dokument erstellen." ma:contentTypeScope="" ma:versionID="50f47f8496fadfdab5e41ae89464fe12">
  <xsd:schema xmlns:xsd="http://www.w3.org/2001/XMLSchema" xmlns:xs="http://www.w3.org/2001/XMLSchema" xmlns:p="http://schemas.microsoft.com/office/2006/metadata/properties" xmlns:ns2="024e642b-e02e-415c-81e5-d34c03fad083" xmlns:ns3="4aaf4c1d-73e8-499c-b94c-0a773b569d1d" xmlns:ns4="http://schemas.microsoft.com/sharepoint/v4" targetNamespace="http://schemas.microsoft.com/office/2006/metadata/properties" ma:root="true" ma:fieldsID="db058df85153d0ae957535cb5fd81834" ns2:_="" ns3:_="" ns4:_="">
    <xsd:import namespace="024e642b-e02e-415c-81e5-d34c03fad083"/>
    <xsd:import namespace="4aaf4c1d-73e8-499c-b94c-0a773b569d1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IconOverlay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e642b-e02e-415c-81e5-d34c03fad08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710a861-5000-42ef-bd15-7c1f3afe8af3}" ma:internalName="TaxCatchAll" ma:showField="CatchAllData" ma:web="024e642b-e02e-415c-81e5-d34c03fad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4c1d-73e8-499c-b94c-0a773b569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435170ad-194d-46cc-a18b-9c35de00e7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4aaf4c1d-73e8-499c-b94c-0a773b569d1d">
      <Terms xmlns="http://schemas.microsoft.com/office/infopath/2007/PartnerControls"/>
    </lcf76f155ced4ddcb4097134ff3c332f>
    <TaxCatchAll xmlns="024e642b-e02e-415c-81e5-d34c03fad083" xsi:nil="true"/>
    <_dlc_DocId xmlns="024e642b-e02e-415c-81e5-d34c03fad083">H7HRAY4WTWX5-968082496-117270</_dlc_DocId>
    <_dlc_DocIdUrl xmlns="024e642b-e02e-415c-81e5-d34c03fad083">
      <Url>https://hlechner.sharepoint.com/sites/filetest/_layouts/15/DocIdRedir.aspx?ID=H7HRAY4WTWX5-968082496-117270</Url>
      <Description>H7HRAY4WTWX5-968082496-117270</Description>
    </_dlc_DocIdUrl>
  </documentManagement>
</p:properties>
</file>

<file path=customXml/itemProps1.xml><?xml version="1.0" encoding="utf-8"?>
<ds:datastoreItem xmlns:ds="http://schemas.openxmlformats.org/officeDocument/2006/customXml" ds:itemID="{12B1C11F-492A-4BB5-89A5-E57B7763A6AB}"/>
</file>

<file path=customXml/itemProps2.xml><?xml version="1.0" encoding="utf-8"?>
<ds:datastoreItem xmlns:ds="http://schemas.openxmlformats.org/officeDocument/2006/customXml" ds:itemID="{E3267380-B2F3-46D7-BA5F-1DA9B3D90A1A}"/>
</file>

<file path=customXml/itemProps3.xml><?xml version="1.0" encoding="utf-8"?>
<ds:datastoreItem xmlns:ds="http://schemas.openxmlformats.org/officeDocument/2006/customXml" ds:itemID="{44F541FE-95BF-4F42-BB18-02B27116D1BD}"/>
</file>

<file path=customXml/itemProps4.xml><?xml version="1.0" encoding="utf-8"?>
<ds:datastoreItem xmlns:ds="http://schemas.openxmlformats.org/officeDocument/2006/customXml" ds:itemID="{8D8C06A7-FF37-47F0-8EB6-C448AA76CA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28</vt:i4>
      </vt:variant>
    </vt:vector>
  </HeadingPairs>
  <TitlesOfParts>
    <vt:vector size="34" baseType="lpstr">
      <vt:lpstr>Summenblatt Schule</vt:lpstr>
      <vt:lpstr>PS BIM</vt:lpstr>
      <vt:lpstr>GP2b Mgt. NEU BIM</vt:lpstr>
      <vt:lpstr>Objektplanung Architektur BIM</vt:lpstr>
      <vt:lpstr>Tragwerksplanung BIM</vt:lpstr>
      <vt:lpstr>TA_gesamt BIM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_mvB</vt:lpstr>
      <vt:lpstr>'GP2b Mgt. NEU BIM'!Druckbereich</vt:lpstr>
      <vt:lpstr>'Objektplanung Architektur BIM'!Druckbereich</vt:lpstr>
      <vt:lpstr>'Summenblatt Schule'!Druckbereich</vt:lpstr>
      <vt:lpstr>'TA_gesamt BIM'!Druckbereich</vt:lpstr>
      <vt:lpstr>'Tragwerksplanung BIM'!Druckbereich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2024-03-07T13:22:43Z</cp:lastPrinted>
  <dcterms:created xsi:type="dcterms:W3CDTF">2009-05-04T08:45:42Z</dcterms:created>
  <dcterms:modified xsi:type="dcterms:W3CDTF">2024-08-09T08:53:22Z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0x010100B1E77F43C0592E4EB9B74EB0144487D1</vt:lpwstr>
  </property>
  <property fmtid="{D5CDD505-2E9C-101B-9397-08002B2CF9AE}" pid="3" name="_dlc_DocIdItemGuid">
    <vt:lpwstr>816ae5c2-b676-41e8-b823-c0fda6c92198</vt:lpwstr>
  </property>
</Properties>
</file>