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drawings/drawing2.xml" ContentType="application/vnd.openxmlformats-officedocument.drawing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drawings/drawing3.xml" ContentType="application/vnd.openxmlformats-officedocument.drawing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drawings/drawing4.xml" ContentType="application/vnd.openxmlformats-officedocument.drawing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https://hlw.pmtools.eu/storage/DOK-ROOT/WEB-DOK/G233/"/>
    </mc:Choice>
  </mc:AlternateContent>
  <xr:revisionPtr revIDLastSave="0" documentId="13_ncr:1_{37223488-EE50-4DF5-A29C-D080F3BA8A0D}" xr6:coauthVersionLast="47" xr6:coauthVersionMax="47" xr10:uidLastSave="{00000000-0000-0000-0000-000000000000}"/>
  <bookViews>
    <workbookView xWindow="-28920" yWindow="-120" windowWidth="29040" windowHeight="15840" tabRatio="914" xr2:uid="{00000000-000D-0000-FFFF-FFFF00000000}"/>
  </bookViews>
  <sheets>
    <sheet name="Summenblatt" sheetId="72" r:id="rId1"/>
    <sheet name="BPH-Thermisch" sheetId="69" r:id="rId2"/>
    <sheet name="BPH-Schallschutz" sheetId="70" r:id="rId3"/>
    <sheet name="BPH-Raumakustik" sheetId="71" r:id="rId4"/>
    <sheet name="Nachhaltigkeit" sheetId="75" r:id="rId5"/>
  </sheets>
  <definedNames>
    <definedName name="_1">Summenblatt!$K$7</definedName>
    <definedName name="_1_9" comment="KB 1-9 = Errichtungskosten">Summenblatt!$K$38</definedName>
    <definedName name="_2">Summenblatt!$K$9</definedName>
    <definedName name="_3">Summenblatt!$K$11</definedName>
    <definedName name="_3.01">Summenblatt!$K$12</definedName>
    <definedName name="_3.02">Summenblatt!$K$13</definedName>
    <definedName name="_3.03">Summenblatt!$K$14</definedName>
    <definedName name="_3.04">Summenblatt!$K$15</definedName>
    <definedName name="_3.05">Summenblatt!$K$16</definedName>
    <definedName name="_3.06">Summenblatt!$K$17</definedName>
    <definedName name="_3.07">Summenblatt!$K$18</definedName>
    <definedName name="_3.08">Summenblatt!$K$19</definedName>
    <definedName name="_4">Summenblatt!$K$21</definedName>
    <definedName name="_5">Summenblatt!$K$23</definedName>
    <definedName name="_5.01">Summenblatt!$K$24</definedName>
    <definedName name="_5.02">Summenblatt!$K$25</definedName>
    <definedName name="_5.03">Summenblatt!$K$26</definedName>
    <definedName name="_6">Summenblatt!$K$28</definedName>
    <definedName name="_7">Summenblatt!$K$30</definedName>
    <definedName name="_8">Summenblatt!$K$32</definedName>
    <definedName name="_9">Summenblatt!$K$34</definedName>
    <definedName name="_Brand" comment="Brandschutz">#REF!</definedName>
    <definedName name="_Brand_AHO" comment="Brandschutz nach AHO">#REF!</definedName>
    <definedName name="_EK">Summenblatt!$K$38</definedName>
    <definedName name="_mvB" comment="mitzuverarbeitende Bausubstanz">Summenblatt!$G$43</definedName>
    <definedName name="Brand_ohne_NK">#REF!</definedName>
    <definedName name="_xlnm.Print_Area" localSheetId="3">'BPH-Raumakustik'!$A$1:$I$93</definedName>
    <definedName name="_xlnm.Print_Area" localSheetId="2">'BPH-Schallschutz'!$A$1:$I$92</definedName>
    <definedName name="_xlnm.Print_Area" localSheetId="1">'BPH-Thermisch'!$A$1:$I$92</definedName>
    <definedName name="_xlnm.Print_Area" localSheetId="4">Nachhaltigkeit!$A$1:$I$97</definedName>
    <definedName name="_xlnm.Print_Area" localSheetId="0">Summenblatt!$A$1:$K$70</definedName>
    <definedName name="_xlnm.Print_Titles" localSheetId="3">'BPH-Raumakustik'!$A:$C,'BPH-Raumakustik'!$3:$3</definedName>
    <definedName name="_xlnm.Print_Titles" localSheetId="2">'BPH-Schallschutz'!$A:$C,'BPH-Schallschutz'!$3:$3</definedName>
    <definedName name="_xlnm.Print_Titles" localSheetId="1">'BPH-Thermisch'!$A:$C,'BPH-Thermisch'!$3:$3</definedName>
    <definedName name="_xlnm.Print_Titles" localSheetId="4">Nachhaltigkeit!$A:$C,Nachhaltigkeit!$2:$2</definedName>
    <definedName name="_xlnm.Print_Titles" localSheetId="0">Summenblatt!$A:$C,Summenblatt!$46:$46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3" i="75" l="1"/>
  <c r="E51" i="71"/>
  <c r="E51" i="70"/>
  <c r="E51" i="69"/>
  <c r="E57" i="69" s="1"/>
  <c r="D79" i="75"/>
  <c r="D83" i="75" s="1"/>
  <c r="D76" i="71"/>
  <c r="D79" i="71" s="1"/>
  <c r="D75" i="70"/>
  <c r="D78" i="70" s="1"/>
  <c r="D75" i="69"/>
  <c r="D78" i="69" s="1"/>
  <c r="A63" i="75" l="1"/>
  <c r="E79" i="75"/>
  <c r="E83" i="75" s="1"/>
  <c r="E76" i="71" l="1"/>
  <c r="E79" i="71" s="1"/>
  <c r="I85" i="75"/>
  <c r="F61" i="75"/>
  <c r="E37" i="75"/>
  <c r="I37" i="75" s="1"/>
  <c r="E33" i="75"/>
  <c r="E31" i="75"/>
  <c r="I31" i="75" s="1"/>
  <c r="E29" i="75"/>
  <c r="I29" i="75" s="1"/>
  <c r="E27" i="75"/>
  <c r="E25" i="75"/>
  <c r="I25" i="75" s="1"/>
  <c r="E24" i="75"/>
  <c r="I24" i="75" s="1"/>
  <c r="E23" i="75"/>
  <c r="I23" i="75" s="1"/>
  <c r="E20" i="75"/>
  <c r="E18" i="75"/>
  <c r="I18" i="75" s="1"/>
  <c r="E17" i="75"/>
  <c r="I17" i="75" s="1"/>
  <c r="E16" i="75"/>
  <c r="I16" i="75" s="1"/>
  <c r="E15" i="75"/>
  <c r="I15" i="75" s="1"/>
  <c r="E14" i="75"/>
  <c r="I14" i="75" s="1"/>
  <c r="E13" i="75"/>
  <c r="I13" i="75" s="1"/>
  <c r="E12" i="75"/>
  <c r="I12" i="75" s="1"/>
  <c r="E11" i="75"/>
  <c r="I11" i="75" s="1"/>
  <c r="E10" i="75"/>
  <c r="E8" i="75"/>
  <c r="I8" i="75" s="1"/>
  <c r="E6" i="75"/>
  <c r="I27" i="75" l="1"/>
  <c r="I6" i="75"/>
  <c r="I20" i="75"/>
  <c r="I33" i="75"/>
  <c r="I39" i="75" l="1"/>
  <c r="E57" i="75" s="1"/>
  <c r="F63" i="75" s="1"/>
  <c r="F66" i="75" l="1"/>
  <c r="F82" i="75" l="1"/>
  <c r="F81" i="75"/>
  <c r="F80" i="75"/>
  <c r="F76" i="75"/>
  <c r="F72" i="75"/>
  <c r="F75" i="75"/>
  <c r="F71" i="75"/>
  <c r="F78" i="75"/>
  <c r="F74" i="75"/>
  <c r="F70" i="75"/>
  <c r="F77" i="75"/>
  <c r="F73" i="75"/>
  <c r="F69" i="75"/>
  <c r="F79" i="75" l="1"/>
  <c r="F83" i="75" s="1"/>
  <c r="I83" i="75" l="1"/>
  <c r="I87" i="75" s="1"/>
  <c r="E75" i="70"/>
  <c r="E78" i="70" s="1"/>
  <c r="E75" i="69"/>
  <c r="E78" i="69" s="1"/>
  <c r="K57" i="72" l="1"/>
  <c r="I89" i="75"/>
  <c r="I92" i="75" s="1"/>
  <c r="I93" i="75" s="1"/>
  <c r="I95" i="75" s="1"/>
  <c r="I81" i="71" l="1"/>
  <c r="I80" i="70"/>
  <c r="I80" i="69"/>
  <c r="E31" i="71"/>
  <c r="I31" i="71" s="1"/>
  <c r="E29" i="71"/>
  <c r="I29" i="71" s="1"/>
  <c r="E27" i="71"/>
  <c r="I27" i="71" s="1"/>
  <c r="E25" i="71"/>
  <c r="I25" i="71" s="1"/>
  <c r="E21" i="71"/>
  <c r="I21" i="71" s="1"/>
  <c r="E19" i="71"/>
  <c r="I19" i="71" s="1"/>
  <c r="E18" i="71"/>
  <c r="I18" i="71" s="1"/>
  <c r="E17" i="71"/>
  <c r="I17" i="71" s="1"/>
  <c r="E16" i="71"/>
  <c r="I16" i="71" s="1"/>
  <c r="E15" i="71"/>
  <c r="I15" i="71" s="1"/>
  <c r="E14" i="71"/>
  <c r="I14" i="71" s="1"/>
  <c r="E13" i="71"/>
  <c r="I13" i="71" s="1"/>
  <c r="E12" i="71"/>
  <c r="I12" i="71" s="1"/>
  <c r="E9" i="71"/>
  <c r="I9" i="71" s="1"/>
  <c r="E7" i="71"/>
  <c r="I7" i="71" s="1"/>
  <c r="E35" i="70"/>
  <c r="I35" i="70" s="1"/>
  <c r="E31" i="70"/>
  <c r="I31" i="70" s="1"/>
  <c r="E29" i="70"/>
  <c r="I29" i="70" s="1"/>
  <c r="E27" i="70"/>
  <c r="I27" i="70" s="1"/>
  <c r="E25" i="70"/>
  <c r="E21" i="70"/>
  <c r="I21" i="70" s="1"/>
  <c r="E19" i="70"/>
  <c r="I19" i="70" s="1"/>
  <c r="E18" i="70"/>
  <c r="I18" i="70" s="1"/>
  <c r="E17" i="70"/>
  <c r="I17" i="70" s="1"/>
  <c r="E16" i="70"/>
  <c r="I16" i="70" s="1"/>
  <c r="E15" i="70"/>
  <c r="I15" i="70" s="1"/>
  <c r="E14" i="70"/>
  <c r="I14" i="70" s="1"/>
  <c r="E13" i="70"/>
  <c r="I13" i="70" s="1"/>
  <c r="E12" i="70"/>
  <c r="I12" i="70" s="1"/>
  <c r="E9" i="70"/>
  <c r="I9" i="70" s="1"/>
  <c r="E7" i="70"/>
  <c r="I7" i="70" s="1"/>
  <c r="E31" i="69"/>
  <c r="I31" i="69" s="1"/>
  <c r="E29" i="69"/>
  <c r="I29" i="69" s="1"/>
  <c r="E27" i="69"/>
  <c r="I27" i="69" s="1"/>
  <c r="E25" i="69"/>
  <c r="I25" i="69" s="1"/>
  <c r="E23" i="69"/>
  <c r="I23" i="69" s="1"/>
  <c r="E21" i="69"/>
  <c r="I21" i="69" s="1"/>
  <c r="E19" i="69"/>
  <c r="I19" i="69" s="1"/>
  <c r="E18" i="69"/>
  <c r="I18" i="69" s="1"/>
  <c r="E17" i="69"/>
  <c r="I17" i="69" s="1"/>
  <c r="E16" i="69"/>
  <c r="I16" i="69" s="1"/>
  <c r="E15" i="69"/>
  <c r="I15" i="69" s="1"/>
  <c r="E14" i="69"/>
  <c r="I14" i="69" s="1"/>
  <c r="E13" i="69"/>
  <c r="I13" i="69" s="1"/>
  <c r="E12" i="69"/>
  <c r="I12" i="69" s="1"/>
  <c r="E9" i="69"/>
  <c r="I9" i="69" s="1"/>
  <c r="E7" i="69"/>
  <c r="I7" i="69" s="1"/>
  <c r="G43" i="72"/>
  <c r="E35" i="69" s="1"/>
  <c r="I35" i="69" s="1"/>
  <c r="E35" i="71"/>
  <c r="I35" i="71" s="1"/>
  <c r="K23" i="72"/>
  <c r="E22" i="75" s="1"/>
  <c r="K11" i="72"/>
  <c r="E11" i="69" s="1"/>
  <c r="E59" i="71"/>
  <c r="E57" i="70"/>
  <c r="E23" i="71" l="1"/>
  <c r="I23" i="71" s="1"/>
  <c r="E23" i="70"/>
  <c r="I23" i="70" s="1"/>
  <c r="I37" i="69"/>
  <c r="E55" i="69" s="1"/>
  <c r="E59" i="69" s="1"/>
  <c r="I37" i="71"/>
  <c r="E55" i="71" s="1"/>
  <c r="K38" i="72"/>
  <c r="E35" i="75" s="1"/>
  <c r="I25" i="70"/>
  <c r="E11" i="71"/>
  <c r="E11" i="70"/>
  <c r="K36" i="72"/>
  <c r="I37" i="70" l="1"/>
  <c r="E55" i="70" s="1"/>
  <c r="D20" i="75"/>
  <c r="D29" i="75"/>
  <c r="D33" i="75"/>
  <c r="D6" i="75"/>
  <c r="D10" i="75"/>
  <c r="D31" i="75"/>
  <c r="D27" i="75"/>
  <c r="D8" i="75"/>
  <c r="F97" i="75"/>
  <c r="D22" i="75"/>
  <c r="H55" i="70"/>
  <c r="H55" i="71"/>
  <c r="E61" i="71"/>
  <c r="F64" i="71" s="1"/>
  <c r="H55" i="69"/>
  <c r="F62" i="69"/>
  <c r="E59" i="70"/>
  <c r="F62" i="70" s="1"/>
  <c r="I7" i="72"/>
  <c r="E33" i="69"/>
  <c r="I28" i="72"/>
  <c r="I30" i="72"/>
  <c r="I11" i="72"/>
  <c r="I23" i="72"/>
  <c r="I9" i="72"/>
  <c r="I34" i="72"/>
  <c r="E33" i="70"/>
  <c r="E33" i="71"/>
  <c r="I32" i="72"/>
  <c r="I21" i="72"/>
  <c r="D35" i="75" l="1"/>
  <c r="F77" i="71"/>
  <c r="F78" i="71"/>
  <c r="F77" i="70"/>
  <c r="F76" i="70"/>
  <c r="F76" i="69"/>
  <c r="F77" i="69"/>
  <c r="F66" i="69"/>
  <c r="F65" i="69"/>
  <c r="F71" i="69"/>
  <c r="F67" i="69"/>
  <c r="F70" i="69"/>
  <c r="F74" i="69"/>
  <c r="F73" i="69"/>
  <c r="F72" i="69"/>
  <c r="F69" i="69"/>
  <c r="F68" i="69"/>
  <c r="F74" i="70"/>
  <c r="F72" i="70"/>
  <c r="F65" i="70"/>
  <c r="F69" i="70"/>
  <c r="F70" i="70"/>
  <c r="F66" i="70"/>
  <c r="F67" i="70"/>
  <c r="F71" i="70"/>
  <c r="F73" i="70"/>
  <c r="F68" i="70"/>
  <c r="F67" i="71"/>
  <c r="F73" i="71"/>
  <c r="F75" i="71"/>
  <c r="F70" i="71"/>
  <c r="F72" i="71"/>
  <c r="F66" i="71"/>
  <c r="F69" i="71"/>
  <c r="F68" i="71"/>
  <c r="F74" i="71"/>
  <c r="F71" i="71"/>
  <c r="I57" i="72"/>
  <c r="G57" i="72"/>
  <c r="D7" i="71"/>
  <c r="D31" i="71"/>
  <c r="D21" i="71"/>
  <c r="D9" i="71"/>
  <c r="D23" i="71"/>
  <c r="D29" i="71"/>
  <c r="D27" i="71"/>
  <c r="D25" i="71"/>
  <c r="D29" i="69"/>
  <c r="D9" i="69"/>
  <c r="D7" i="69"/>
  <c r="D27" i="69"/>
  <c r="D23" i="69"/>
  <c r="D25" i="69"/>
  <c r="D11" i="69"/>
  <c r="D21" i="69"/>
  <c r="D31" i="69"/>
  <c r="D31" i="70"/>
  <c r="D9" i="70"/>
  <c r="D27" i="70"/>
  <c r="D29" i="70"/>
  <c r="D7" i="70"/>
  <c r="D21" i="70"/>
  <c r="D23" i="70"/>
  <c r="D25" i="70"/>
  <c r="I36" i="72"/>
  <c r="I38" i="72"/>
  <c r="D11" i="71"/>
  <c r="D11" i="70"/>
  <c r="F75" i="69" l="1"/>
  <c r="F78" i="69" s="1"/>
  <c r="F76" i="71"/>
  <c r="F79" i="71" s="1"/>
  <c r="I79" i="71" s="1"/>
  <c r="F75" i="70"/>
  <c r="F78" i="70" s="1"/>
  <c r="I78" i="70" s="1"/>
  <c r="I82" i="70" s="1"/>
  <c r="D33" i="71"/>
  <c r="D33" i="70"/>
  <c r="D33" i="69"/>
  <c r="I78" i="69" l="1"/>
  <c r="I82" i="69" s="1"/>
  <c r="I83" i="71"/>
  <c r="K53" i="72"/>
  <c r="I84" i="70"/>
  <c r="I87" i="70" s="1"/>
  <c r="I84" i="69" l="1"/>
  <c r="I87" i="69" s="1"/>
  <c r="K51" i="72"/>
  <c r="G51" i="72" s="1"/>
  <c r="K55" i="72"/>
  <c r="I55" i="72" s="1"/>
  <c r="I85" i="71"/>
  <c r="I88" i="71" s="1"/>
  <c r="F93" i="71" s="1"/>
  <c r="F92" i="70"/>
  <c r="I88" i="70"/>
  <c r="I90" i="70" s="1"/>
  <c r="I53" i="72"/>
  <c r="G53" i="72"/>
  <c r="I51" i="72" l="1"/>
  <c r="I88" i="69"/>
  <c r="I90" i="69" s="1"/>
  <c r="F92" i="69"/>
  <c r="K59" i="72"/>
  <c r="G55" i="72"/>
  <c r="I89" i="71"/>
  <c r="I91" i="71" s="1"/>
  <c r="K61" i="72"/>
  <c r="K64" i="72" l="1"/>
  <c r="H70" i="72" s="1"/>
  <c r="K66" i="72" l="1"/>
  <c r="K68" i="72" s="1"/>
</calcChain>
</file>

<file path=xl/sharedStrings.xml><?xml version="1.0" encoding="utf-8"?>
<sst xmlns="http://schemas.openxmlformats.org/spreadsheetml/2006/main" count="404" uniqueCount="143">
  <si>
    <t>AUFSCHLIESSUNG</t>
  </si>
  <si>
    <t>BAUWERK – ROHBAU</t>
  </si>
  <si>
    <t>BAUWERK – AUSBAU</t>
  </si>
  <si>
    <t>AUSSENANLAGEN</t>
  </si>
  <si>
    <t>mögl Punkte</t>
  </si>
  <si>
    <t>gewählt</t>
  </si>
  <si>
    <t>1 bis 5</t>
  </si>
  <si>
    <t>BAUWERK – TECHNIK</t>
  </si>
  <si>
    <t>Gebäudeautomation</t>
  </si>
  <si>
    <t>EINRICHTUNG</t>
  </si>
  <si>
    <t>RESERVEN</t>
  </si>
  <si>
    <t>Bemessungsgrundlage:</t>
  </si>
  <si>
    <t>ERRICHTUNGSKOSTEN</t>
  </si>
  <si>
    <t>zzgl. Nebenkosten</t>
  </si>
  <si>
    <t>zzgl. MWSt.</t>
  </si>
  <si>
    <t>Vergütungsermittlung</t>
  </si>
  <si>
    <t>BMGL %</t>
  </si>
  <si>
    <t>.01</t>
  </si>
  <si>
    <t>Abwasser-, Wasser-, Gasanlagen</t>
  </si>
  <si>
    <t>.02</t>
  </si>
  <si>
    <t>.03</t>
  </si>
  <si>
    <t>.04</t>
  </si>
  <si>
    <t>.05</t>
  </si>
  <si>
    <t>.06</t>
  </si>
  <si>
    <t>.07</t>
  </si>
  <si>
    <t>.08</t>
  </si>
  <si>
    <t>Wärme- und Kälteversorgungsanlagen</t>
  </si>
  <si>
    <t>Lufttechnische Anlagen</t>
  </si>
  <si>
    <t>Starkstrom - Elektroanlagen</t>
  </si>
  <si>
    <t>Fördertechnische Anlagen</t>
  </si>
  <si>
    <t>Nutzungsspezifische Anlagen</t>
  </si>
  <si>
    <t>Fernmelde-, IT- und Sicherheitsanlagen</t>
  </si>
  <si>
    <t>BEMESSUNGSGRUNDLAGE</t>
  </si>
  <si>
    <t>LPH 2 Vorentwurfsplanung</t>
  </si>
  <si>
    <t>LPH 3 Entwurfsplanung</t>
  </si>
  <si>
    <t>LPH 4 Einreichplanung</t>
  </si>
  <si>
    <t>LPH 6 Ausschreibung</t>
  </si>
  <si>
    <r>
      <t>Prozentsatz der beauftragten Leistungsphasen (f</t>
    </r>
    <r>
      <rPr>
        <vertAlign val="subscript"/>
        <sz val="10"/>
        <rFont val="Arial"/>
        <family val="2"/>
      </rPr>
      <t>LPH</t>
    </r>
    <r>
      <rPr>
        <sz val="10"/>
        <rFont val="Arial"/>
        <family val="2"/>
      </rPr>
      <t>)</t>
    </r>
  </si>
  <si>
    <r>
      <t>Summe der Bewertungspunkte [b</t>
    </r>
    <r>
      <rPr>
        <vertAlign val="subscript"/>
        <sz val="10"/>
        <rFont val="Arial"/>
        <family val="2"/>
      </rPr>
      <t>w</t>
    </r>
    <r>
      <rPr>
        <sz val="10"/>
        <rFont val="Arial"/>
        <family val="2"/>
      </rPr>
      <t>]</t>
    </r>
  </si>
  <si>
    <t>(A) Vielfalt der Besonderheiten in den Projektinhalten</t>
  </si>
  <si>
    <t>(B) Komplexität der Projektorganisation</t>
  </si>
  <si>
    <t>(C) Risiko bei der Projektrealisierung</t>
  </si>
  <si>
    <t>(D) Termin und Kostenanforderungen</t>
  </si>
  <si>
    <t>Errichtungskosten in €</t>
  </si>
  <si>
    <t>BMGL in €</t>
  </si>
  <si>
    <t>Nutzungsspezifische Ausstattung</t>
  </si>
  <si>
    <t>LPH 7 Begleitung der Bauausführung</t>
  </si>
  <si>
    <t>LPH 9 Objektbetreuung</t>
  </si>
  <si>
    <t>6 bis 42</t>
  </si>
  <si>
    <t xml:space="preserve">          Mitwirkung an der Vergabe</t>
  </si>
  <si>
    <r>
      <t>Faktor aus Bewertungspunkten [f</t>
    </r>
    <r>
      <rPr>
        <vertAlign val="subscript"/>
        <sz val="10"/>
        <rFont val="Arial"/>
        <family val="2"/>
      </rPr>
      <t>bwT</t>
    </r>
    <r>
      <rPr>
        <sz val="10"/>
        <rFont val="Arial"/>
        <family val="2"/>
      </rPr>
      <t xml:space="preserve"> = 0,021 x b</t>
    </r>
    <r>
      <rPr>
        <vertAlign val="subscript"/>
        <sz val="10"/>
        <rFont val="Arial"/>
        <family val="2"/>
      </rPr>
      <t>w</t>
    </r>
    <r>
      <rPr>
        <sz val="10"/>
        <rFont val="Arial"/>
        <family val="2"/>
      </rPr>
      <t xml:space="preserve"> + 0,761]</t>
    </r>
  </si>
  <si>
    <t xml:space="preserve">LPH 5 Ausführungsplanung </t>
  </si>
  <si>
    <t>LPH 8 Örtliche Bauaufsicht</t>
  </si>
  <si>
    <t xml:space="preserve">Summe Thermische Bauphysik brutto </t>
  </si>
  <si>
    <r>
      <t>Faktor aus Bewertungspunkten [f</t>
    </r>
    <r>
      <rPr>
        <vertAlign val="subscript"/>
        <sz val="10"/>
        <rFont val="Arial"/>
        <family val="2"/>
      </rPr>
      <t>bwS</t>
    </r>
    <r>
      <rPr>
        <sz val="10"/>
        <rFont val="Arial"/>
        <family val="2"/>
      </rPr>
      <t xml:space="preserve"> = 0,013 x b</t>
    </r>
    <r>
      <rPr>
        <vertAlign val="subscript"/>
        <sz val="10"/>
        <rFont val="Arial"/>
        <family val="2"/>
      </rPr>
      <t>w</t>
    </r>
    <r>
      <rPr>
        <sz val="10"/>
        <rFont val="Arial"/>
        <family val="2"/>
      </rPr>
      <t xml:space="preserve"> + 0,923]</t>
    </r>
  </si>
  <si>
    <r>
      <t>%-Satz für BPS [h</t>
    </r>
    <r>
      <rPr>
        <vertAlign val="subscript"/>
        <sz val="10"/>
        <rFont val="Arial"/>
        <family val="2"/>
      </rPr>
      <t>BPS</t>
    </r>
    <r>
      <rPr>
        <sz val="10"/>
        <rFont val="Arial"/>
        <family val="2"/>
      </rPr>
      <t xml:space="preserve"> = 506,2538 x (BMGL)</t>
    </r>
    <r>
      <rPr>
        <vertAlign val="superscript"/>
        <sz val="10"/>
        <rFont val="Arial"/>
        <family val="2"/>
      </rPr>
      <t>(-0,5074)</t>
    </r>
    <r>
      <rPr>
        <sz val="10"/>
        <rFont val="Arial"/>
        <family val="2"/>
      </rPr>
      <t xml:space="preserve"> x f</t>
    </r>
    <r>
      <rPr>
        <vertAlign val="subscript"/>
        <sz val="10"/>
        <rFont val="Arial"/>
        <family val="2"/>
      </rPr>
      <t>bw</t>
    </r>
    <r>
      <rPr>
        <sz val="10"/>
        <rFont val="Arial"/>
        <family val="2"/>
      </rPr>
      <t>]</t>
    </r>
  </si>
  <si>
    <t xml:space="preserve">Summe Bauphysik Schallschutz brutto </t>
  </si>
  <si>
    <r>
      <t>Faktor aus Bewertungspunkten [f</t>
    </r>
    <r>
      <rPr>
        <vertAlign val="subscript"/>
        <sz val="10"/>
        <rFont val="Arial"/>
        <family val="2"/>
      </rPr>
      <t>bwA</t>
    </r>
    <r>
      <rPr>
        <sz val="10"/>
        <rFont val="Arial"/>
        <family val="2"/>
      </rPr>
      <t xml:space="preserve"> = 0,057 x b</t>
    </r>
    <r>
      <rPr>
        <vertAlign val="subscript"/>
        <sz val="10"/>
        <rFont val="Arial"/>
        <family val="2"/>
      </rPr>
      <t>w</t>
    </r>
    <r>
      <rPr>
        <sz val="10"/>
        <rFont val="Arial"/>
        <family val="2"/>
      </rPr>
      <t xml:space="preserve"> + 0,367]</t>
    </r>
  </si>
  <si>
    <r>
      <t>%-Satz für BPA [h</t>
    </r>
    <r>
      <rPr>
        <vertAlign val="subscript"/>
        <sz val="10"/>
        <rFont val="Arial"/>
        <family val="2"/>
      </rPr>
      <t>BPA</t>
    </r>
    <r>
      <rPr>
        <sz val="10"/>
        <rFont val="Arial"/>
        <family val="2"/>
      </rPr>
      <t xml:space="preserve"> = 439,8031 x (BMGL)</t>
    </r>
    <r>
      <rPr>
        <vertAlign val="superscript"/>
        <sz val="10"/>
        <rFont val="Arial"/>
        <family val="2"/>
      </rPr>
      <t>(-0,4760)</t>
    </r>
    <r>
      <rPr>
        <sz val="10"/>
        <rFont val="Arial"/>
        <family val="2"/>
      </rPr>
      <t xml:space="preserve"> x f</t>
    </r>
    <r>
      <rPr>
        <vertAlign val="subscript"/>
        <sz val="10"/>
        <rFont val="Arial"/>
        <family val="2"/>
      </rPr>
      <t>bw</t>
    </r>
    <r>
      <rPr>
        <sz val="10"/>
        <rFont val="Arial"/>
        <family val="2"/>
      </rPr>
      <t>]</t>
    </r>
  </si>
  <si>
    <t>Bemessungsgrundlage gesamt:</t>
  </si>
  <si>
    <t xml:space="preserve">Summe Bauphysik Raumakustik brutto </t>
  </si>
  <si>
    <t>ERK %</t>
  </si>
  <si>
    <t>Anforderungsmerkmale/Bewertungspunkte</t>
  </si>
  <si>
    <t>Summe Thermische Bauphysik netto inkl. NK</t>
  </si>
  <si>
    <t>Summe Bauphysik Schallschutz netto inkl. NK</t>
  </si>
  <si>
    <t>Summe Bauphysik Raumakustik netto inkl. NK</t>
  </si>
  <si>
    <t>Kosten nach ÖNORM B1801-1</t>
  </si>
  <si>
    <r>
      <t xml:space="preserve">NEBENKOSTEN </t>
    </r>
    <r>
      <rPr>
        <sz val="9"/>
        <rFont val="Arial"/>
        <family val="2"/>
      </rPr>
      <t>(Bewilligungen, Anschlussgebühren, …)</t>
    </r>
  </si>
  <si>
    <t>LPH 1 Grundlagenanalyse</t>
  </si>
  <si>
    <t>BAUWERKSKOSTEN</t>
  </si>
  <si>
    <t>Summe Bauphysik ohne Nebenkosten</t>
  </si>
  <si>
    <t>Summe Bauphysik netto inkl. NK</t>
  </si>
  <si>
    <t xml:space="preserve">Summe Baupyhsik brutto </t>
  </si>
  <si>
    <t>Ermittlung Bemessungsgrundlage (BMGL)</t>
  </si>
  <si>
    <t>(PL + ÖBA)</t>
  </si>
  <si>
    <t>Prozentanteil an Errichtungskosten (netto, inkl. NK)</t>
  </si>
  <si>
    <t xml:space="preserve">Bruttorauminhalt (BRI) gesamt: </t>
  </si>
  <si>
    <t>Bruttorauminhalt (BRI) betrachteter Raum:</t>
  </si>
  <si>
    <r>
      <t>PLANUNGSLEISTUNGEN</t>
    </r>
    <r>
      <rPr>
        <sz val="10"/>
        <color indexed="8"/>
        <rFont val="Arial"/>
        <family val="2"/>
      </rPr>
      <t xml:space="preserve"> (GP)</t>
    </r>
  </si>
  <si>
    <t>Stundenpool (optionale Leistungen)</t>
  </si>
  <si>
    <t>Z</t>
  </si>
  <si>
    <t>MITZUVERARBEITENDE BAUSUBSTANZ</t>
  </si>
  <si>
    <t>BRI</t>
  </si>
  <si>
    <t>geschätzter Wert</t>
  </si>
  <si>
    <t>mvB = BRI x 50-60 €/m³</t>
  </si>
  <si>
    <t>Einbaumöbel</t>
  </si>
  <si>
    <t>Serienmöbel</t>
  </si>
  <si>
    <r>
      <t xml:space="preserve">PLANUNGSLEISTUNGEN </t>
    </r>
    <r>
      <rPr>
        <sz val="9"/>
        <color indexed="8"/>
        <rFont val="Arial"/>
        <family val="2"/>
      </rPr>
      <t>(ohne PL, PS, BK)</t>
    </r>
  </si>
  <si>
    <t>Zusammenstellung der Planungsleistungen</t>
  </si>
  <si>
    <t>%-Anteil BWK</t>
  </si>
  <si>
    <t>%-Anteil ERK</t>
  </si>
  <si>
    <t>mitzuverarbeitende Bausubstanz</t>
  </si>
  <si>
    <t>Umbauzuschlag nach BP.11</t>
  </si>
  <si>
    <r>
      <t>Vergütung VBPT = BMGL x h</t>
    </r>
    <r>
      <rPr>
        <vertAlign val="subscript"/>
        <sz val="10"/>
        <rFont val="Arial"/>
        <family val="2"/>
      </rPr>
      <t>BPT</t>
    </r>
    <r>
      <rPr>
        <sz val="10"/>
        <rFont val="Arial"/>
        <family val="2"/>
      </rPr>
      <t xml:space="preserve"> x Umbauzuschlag x 100% f</t>
    </r>
    <r>
      <rPr>
        <vertAlign val="subscript"/>
        <sz val="10"/>
        <rFont val="Arial"/>
        <family val="2"/>
      </rPr>
      <t>LPH</t>
    </r>
  </si>
  <si>
    <t>Summe Teil Thermische Bauphysik ohne Nebenkosten</t>
  </si>
  <si>
    <r>
      <t>Vergütung VBPS = BMGL x h</t>
    </r>
    <r>
      <rPr>
        <vertAlign val="subscript"/>
        <sz val="10"/>
        <rFont val="Arial"/>
        <family val="2"/>
      </rPr>
      <t>BPT</t>
    </r>
    <r>
      <rPr>
        <sz val="10"/>
        <rFont val="Arial"/>
        <family val="2"/>
      </rPr>
      <t xml:space="preserve"> x Umbauzuschlag x 100% f</t>
    </r>
    <r>
      <rPr>
        <vertAlign val="subscript"/>
        <sz val="10"/>
        <rFont val="Arial"/>
        <family val="2"/>
      </rPr>
      <t>LPH</t>
    </r>
  </si>
  <si>
    <t>Summe Teil Bauphysik Schallschutz ohne Nebenkosten</t>
  </si>
  <si>
    <t>Summe Teil Bauphysik Raumakustik ohne Nebenkosten</t>
  </si>
  <si>
    <t>LM.VM</t>
  </si>
  <si>
    <t>Thermische Bauphysik nach VM.BP 2023</t>
  </si>
  <si>
    <t>Bauphysik Schallschutz nach VM.BP 2023</t>
  </si>
  <si>
    <t>Bauphysik Raumakustik nach VM.BP 2023</t>
  </si>
  <si>
    <t>Thermische Bauphysik nach VM.BP.2023</t>
  </si>
  <si>
    <t>Bauphysik Schallschutz nach VM.BP.2023</t>
  </si>
  <si>
    <t>Bauphysik Raumakustik nach VM.BP.2023</t>
  </si>
  <si>
    <t>Zusatz Nachhaltigkeitsanforderungen</t>
  </si>
  <si>
    <r>
      <t>%-Satz für BPT [h</t>
    </r>
    <r>
      <rPr>
        <vertAlign val="subscript"/>
        <sz val="10"/>
        <rFont val="Arial"/>
        <family val="2"/>
      </rPr>
      <t>BPT</t>
    </r>
    <r>
      <rPr>
        <sz val="10"/>
        <rFont val="Arial"/>
        <family val="2"/>
      </rPr>
      <t xml:space="preserve"> = 117,07 x (BMGL)</t>
    </r>
    <r>
      <rPr>
        <vertAlign val="superscript"/>
        <sz val="10"/>
        <rFont val="Arial"/>
        <family val="2"/>
      </rPr>
      <t>(-0,41731)</t>
    </r>
    <r>
      <rPr>
        <sz val="10"/>
        <rFont val="Arial"/>
        <family val="2"/>
      </rPr>
      <t xml:space="preserve"> x f</t>
    </r>
    <r>
      <rPr>
        <vertAlign val="subscript"/>
        <sz val="10"/>
        <rFont val="Arial"/>
        <family val="2"/>
      </rPr>
      <t>bwT</t>
    </r>
    <r>
      <rPr>
        <sz val="10"/>
        <rFont val="Arial"/>
        <family val="2"/>
      </rPr>
      <t>]</t>
    </r>
  </si>
  <si>
    <r>
      <t>Vergütung V</t>
    </r>
    <r>
      <rPr>
        <vertAlign val="subscript"/>
        <sz val="10"/>
        <rFont val="Arial"/>
        <family val="2"/>
      </rPr>
      <t>BPA</t>
    </r>
    <r>
      <rPr>
        <sz val="10"/>
        <rFont val="Arial"/>
        <family val="2"/>
      </rPr>
      <t xml:space="preserve"> = BMGL x h</t>
    </r>
    <r>
      <rPr>
        <vertAlign val="subscript"/>
        <sz val="10"/>
        <rFont val="Arial"/>
        <family val="2"/>
      </rPr>
      <t>BPA</t>
    </r>
    <r>
      <rPr>
        <sz val="10"/>
        <rFont val="Arial"/>
        <family val="2"/>
      </rPr>
      <t xml:space="preserve"> x 100% f</t>
    </r>
    <r>
      <rPr>
        <vertAlign val="subscript"/>
        <sz val="10"/>
        <rFont val="Arial"/>
        <family val="2"/>
      </rPr>
      <t>LPH</t>
    </r>
    <r>
      <rPr>
        <sz val="10"/>
        <rFont val="Arial"/>
        <family val="2"/>
      </rPr>
      <t xml:space="preserve"> / BRI x betrachteter Raum
                                + Umbauzuschlag</t>
    </r>
  </si>
  <si>
    <t>Bearbeitungsfälle:</t>
  </si>
  <si>
    <t xml:space="preserve">     &lt;-- hier auswählen</t>
  </si>
  <si>
    <t>bitte auswählen</t>
  </si>
  <si>
    <t>NEBENKOSTEN</t>
  </si>
  <si>
    <r>
      <t xml:space="preserve">Bauphysik Schallschutz
</t>
    </r>
    <r>
      <rPr>
        <sz val="8"/>
        <color indexed="8"/>
        <rFont val="Arial"/>
        <family val="2"/>
      </rPr>
      <t>nach VM.BP+NH.2023</t>
    </r>
  </si>
  <si>
    <r>
      <rPr>
        <b/>
        <sz val="8"/>
        <color rgb="FF000000"/>
        <rFont val="Arial"/>
        <family val="2"/>
      </rPr>
      <t xml:space="preserve">Thermische Bauphysik
</t>
    </r>
    <r>
      <rPr>
        <sz val="8"/>
        <color indexed="8"/>
        <rFont val="Arial"/>
        <family val="2"/>
      </rPr>
      <t>nach VM.BP+NH.2023</t>
    </r>
  </si>
  <si>
    <t>gering          durchschnitt.          hoch</t>
  </si>
  <si>
    <r>
      <t>Faktor aus Bewertungspunkten [f</t>
    </r>
    <r>
      <rPr>
        <vertAlign val="subscript"/>
        <sz val="10"/>
        <rFont val="Arial"/>
        <family val="2"/>
      </rPr>
      <t>bwNH</t>
    </r>
    <r>
      <rPr>
        <sz val="10"/>
        <rFont val="Arial"/>
        <family val="2"/>
      </rPr>
      <t xml:space="preserve"> = 0,021 x b</t>
    </r>
    <r>
      <rPr>
        <vertAlign val="subscript"/>
        <sz val="10"/>
        <rFont val="Arial"/>
        <family val="2"/>
      </rPr>
      <t>w</t>
    </r>
    <r>
      <rPr>
        <sz val="10"/>
        <rFont val="Arial"/>
        <family val="2"/>
      </rPr>
      <t xml:space="preserve"> + 0,761]</t>
    </r>
  </si>
  <si>
    <r>
      <rPr>
        <b/>
        <sz val="8"/>
        <color rgb="FF000000"/>
        <rFont val="Arial"/>
        <family val="2"/>
      </rPr>
      <t>Nachhaltigkeit</t>
    </r>
    <r>
      <rPr>
        <sz val="8"/>
        <color indexed="8"/>
        <rFont val="Arial"/>
        <family val="2"/>
      </rPr>
      <t xml:space="preserve">
nach VM.BP+NH.2023</t>
    </r>
  </si>
  <si>
    <t>Nachhaltigkeit nach VM.BP.2023</t>
  </si>
  <si>
    <t>Summe Nachhaltigkeit ohne Nebenkosten</t>
  </si>
  <si>
    <r>
      <t>Prozentsatz beauftragte Leistungsphasen (f</t>
    </r>
    <r>
      <rPr>
        <vertAlign val="subscript"/>
        <sz val="10"/>
        <rFont val="Arial"/>
        <family val="2"/>
      </rPr>
      <t>LPH</t>
    </r>
    <r>
      <rPr>
        <sz val="10"/>
        <rFont val="Arial"/>
        <family val="2"/>
      </rPr>
      <t>)</t>
    </r>
  </si>
  <si>
    <t>Nachhaltigkeit nach VM.NH.2023</t>
  </si>
  <si>
    <r>
      <t xml:space="preserve">Thermische Bauphysik
</t>
    </r>
    <r>
      <rPr>
        <sz val="8"/>
        <color indexed="8"/>
        <rFont val="Arial"/>
        <family val="2"/>
      </rPr>
      <t>nach VM.BP+NH.2023</t>
    </r>
  </si>
  <si>
    <t>gering         durchschnitt.          hoch</t>
  </si>
  <si>
    <t>gering        durchschnitt.          hoch</t>
  </si>
  <si>
    <t>Zusatz Ergebnisse BP/NH in Raumbuch (Standard)</t>
  </si>
  <si>
    <t>Zusatz Ergebnisse BP/NH im BIM-Modell</t>
  </si>
  <si>
    <t>a) für die Bearbeitung nach ÖGNI/DGNB/BREAM/LEED
    unter Beachtung der Zuarbeit der Planungsleistungen ... Y = 1,0</t>
  </si>
  <si>
    <t>c) für die Bearbeitung nach EU-Taxonomie VO + Produktkatalog .................................................................................. Y = 0,3</t>
  </si>
  <si>
    <t>b) für die Barbeitung nach Klimaaktiv …............................. ................................................................................................ Y = 0,6</t>
  </si>
  <si>
    <t>d) für die Bearbeitung ohne Nachweise ............................. ............................................................................................... Y = 0,4</t>
  </si>
  <si>
    <t>e) für die Kombination von zB (a) + (C) ............................. .................................................................................................. Y = 1,2</t>
  </si>
  <si>
    <t>Zusatz Ergebnisse BP im RMB + Bauteilkatalog</t>
  </si>
  <si>
    <r>
      <t>Prozentsatz beauftragter LPH (f</t>
    </r>
    <r>
      <rPr>
        <vertAlign val="subscript"/>
        <sz val="10"/>
        <rFont val="Arial"/>
        <family val="2"/>
      </rPr>
      <t>LPH</t>
    </r>
    <r>
      <rPr>
        <sz val="10"/>
        <rFont val="Arial"/>
        <family val="2"/>
      </rPr>
      <t>) + Zusatz%pkt.</t>
    </r>
  </si>
  <si>
    <t>Projekte über 100 Mio €</t>
  </si>
  <si>
    <t>0 bis 5</t>
  </si>
  <si>
    <t>mehr als 20 Nutzer, Planungsbeteiligte</t>
  </si>
  <si>
    <t>0 bis 3</t>
  </si>
  <si>
    <r>
      <t>%-Satz für NH [h</t>
    </r>
    <r>
      <rPr>
        <vertAlign val="subscript"/>
        <sz val="10"/>
        <color theme="0"/>
        <rFont val="Arial"/>
        <family val="2"/>
      </rPr>
      <t>NH</t>
    </r>
    <r>
      <rPr>
        <sz val="10"/>
        <color theme="0"/>
        <rFont val="Arial"/>
        <family val="2"/>
      </rPr>
      <t xml:space="preserve"> = 1,0 x 117,0700 x (BMGL)^</t>
    </r>
    <r>
      <rPr>
        <vertAlign val="superscript"/>
        <sz val="10"/>
        <color theme="0"/>
        <rFont val="Arial"/>
        <family val="2"/>
      </rPr>
      <t>(-0,41731)</t>
    </r>
    <r>
      <rPr>
        <sz val="10"/>
        <color theme="0"/>
        <rFont val="Arial"/>
        <family val="2"/>
      </rPr>
      <t xml:space="preserve"> x f</t>
    </r>
    <r>
      <rPr>
        <vertAlign val="subscript"/>
        <sz val="10"/>
        <color theme="0"/>
        <rFont val="Arial"/>
        <family val="2"/>
      </rPr>
      <t>bw</t>
    </r>
    <r>
      <rPr>
        <sz val="10"/>
        <color theme="0"/>
        <rFont val="Arial"/>
        <family val="2"/>
      </rPr>
      <t>]</t>
    </r>
  </si>
  <si>
    <r>
      <t>%-Satz für NH [h</t>
    </r>
    <r>
      <rPr>
        <vertAlign val="subscript"/>
        <sz val="10"/>
        <color theme="0"/>
        <rFont val="Arial"/>
        <family val="2"/>
      </rPr>
      <t>NH</t>
    </r>
    <r>
      <rPr>
        <sz val="10"/>
        <color theme="0"/>
        <rFont val="Arial"/>
        <family val="2"/>
      </rPr>
      <t xml:space="preserve"> = 0,6 x 117,0700 x (BMGL)^</t>
    </r>
    <r>
      <rPr>
        <vertAlign val="superscript"/>
        <sz val="10"/>
        <color theme="0"/>
        <rFont val="Arial"/>
        <family val="2"/>
      </rPr>
      <t>(-0,41731)</t>
    </r>
    <r>
      <rPr>
        <sz val="10"/>
        <color theme="0"/>
        <rFont val="Arial"/>
        <family val="2"/>
      </rPr>
      <t xml:space="preserve"> x f</t>
    </r>
    <r>
      <rPr>
        <vertAlign val="subscript"/>
        <sz val="10"/>
        <color theme="0"/>
        <rFont val="Arial"/>
        <family val="2"/>
      </rPr>
      <t>bw</t>
    </r>
    <r>
      <rPr>
        <sz val="10"/>
        <color theme="0"/>
        <rFont val="Arial"/>
        <family val="2"/>
      </rPr>
      <t>]</t>
    </r>
  </si>
  <si>
    <r>
      <t>%-Satz für NH [h</t>
    </r>
    <r>
      <rPr>
        <vertAlign val="subscript"/>
        <sz val="10"/>
        <color theme="0"/>
        <rFont val="Arial"/>
        <family val="2"/>
      </rPr>
      <t>NH</t>
    </r>
    <r>
      <rPr>
        <sz val="10"/>
        <color theme="0"/>
        <rFont val="Arial"/>
        <family val="2"/>
      </rPr>
      <t xml:space="preserve"> = 0,3 x 117,0700 x (BMGL)^</t>
    </r>
    <r>
      <rPr>
        <vertAlign val="superscript"/>
        <sz val="10"/>
        <color theme="0"/>
        <rFont val="Arial"/>
        <family val="2"/>
      </rPr>
      <t>(-0,41731)</t>
    </r>
    <r>
      <rPr>
        <sz val="10"/>
        <color theme="0"/>
        <rFont val="Arial"/>
        <family val="2"/>
      </rPr>
      <t xml:space="preserve"> x f</t>
    </r>
    <r>
      <rPr>
        <vertAlign val="subscript"/>
        <sz val="10"/>
        <color theme="0"/>
        <rFont val="Arial"/>
        <family val="2"/>
      </rPr>
      <t>bw</t>
    </r>
    <r>
      <rPr>
        <sz val="10"/>
        <color theme="0"/>
        <rFont val="Arial"/>
        <family val="2"/>
      </rPr>
      <t>]</t>
    </r>
  </si>
  <si>
    <r>
      <t>%-Satz für NH [h</t>
    </r>
    <r>
      <rPr>
        <vertAlign val="subscript"/>
        <sz val="10"/>
        <color theme="0"/>
        <rFont val="Arial"/>
        <family val="2"/>
      </rPr>
      <t>NH</t>
    </r>
    <r>
      <rPr>
        <sz val="10"/>
        <color theme="0"/>
        <rFont val="Arial"/>
        <family val="2"/>
      </rPr>
      <t xml:space="preserve"> = 0,4 x 117,0700 x (BMGL)^</t>
    </r>
    <r>
      <rPr>
        <vertAlign val="superscript"/>
        <sz val="10"/>
        <color theme="0"/>
        <rFont val="Arial"/>
        <family val="2"/>
      </rPr>
      <t>(-0,41731)</t>
    </r>
    <r>
      <rPr>
        <sz val="10"/>
        <color theme="0"/>
        <rFont val="Arial"/>
        <family val="2"/>
      </rPr>
      <t xml:space="preserve"> x f</t>
    </r>
    <r>
      <rPr>
        <vertAlign val="subscript"/>
        <sz val="10"/>
        <color theme="0"/>
        <rFont val="Arial"/>
        <family val="2"/>
      </rPr>
      <t>bw</t>
    </r>
    <r>
      <rPr>
        <sz val="10"/>
        <color theme="0"/>
        <rFont val="Arial"/>
        <family val="2"/>
      </rPr>
      <t>]</t>
    </r>
  </si>
  <si>
    <r>
      <t>%-Satz für NH [h</t>
    </r>
    <r>
      <rPr>
        <vertAlign val="subscript"/>
        <sz val="10"/>
        <color theme="0"/>
        <rFont val="Arial"/>
        <family val="2"/>
      </rPr>
      <t>NH</t>
    </r>
    <r>
      <rPr>
        <sz val="10"/>
        <color theme="0"/>
        <rFont val="Arial"/>
        <family val="2"/>
      </rPr>
      <t xml:space="preserve"> = 1,2 x 117,0700 x (BMGL)^</t>
    </r>
    <r>
      <rPr>
        <vertAlign val="superscript"/>
        <sz val="10"/>
        <color theme="0"/>
        <rFont val="Arial"/>
        <family val="2"/>
      </rPr>
      <t>(-0,41731)</t>
    </r>
    <r>
      <rPr>
        <sz val="10"/>
        <color theme="0"/>
        <rFont val="Arial"/>
        <family val="2"/>
      </rPr>
      <t xml:space="preserve"> x f</t>
    </r>
    <r>
      <rPr>
        <vertAlign val="subscript"/>
        <sz val="10"/>
        <color theme="0"/>
        <rFont val="Arial"/>
        <family val="2"/>
      </rPr>
      <t>bw</t>
    </r>
    <r>
      <rPr>
        <sz val="10"/>
        <color theme="0"/>
        <rFont val="Arial"/>
        <family val="2"/>
      </rPr>
      <t>]</t>
    </r>
  </si>
  <si>
    <r>
      <t>Vergütung V</t>
    </r>
    <r>
      <rPr>
        <vertAlign val="subscript"/>
        <sz val="10"/>
        <rFont val="Arial"/>
        <family val="2"/>
      </rPr>
      <t>NH</t>
    </r>
    <r>
      <rPr>
        <sz val="10"/>
        <rFont val="Arial"/>
        <family val="2"/>
      </rPr>
      <t xml:space="preserve"> = BMGL x h</t>
    </r>
    <r>
      <rPr>
        <vertAlign val="subscript"/>
        <sz val="10"/>
        <rFont val="Arial"/>
        <family val="2"/>
      </rPr>
      <t>NH</t>
    </r>
    <r>
      <rPr>
        <sz val="10"/>
        <rFont val="Arial"/>
        <family val="2"/>
      </rPr>
      <t xml:space="preserve"> x 100% f</t>
    </r>
    <r>
      <rPr>
        <vertAlign val="subscript"/>
        <sz val="10"/>
        <rFont val="Arial"/>
        <family val="2"/>
      </rPr>
      <t>LPH</t>
    </r>
    <r>
      <rPr>
        <sz val="10"/>
        <rFont val="Arial"/>
        <family val="2"/>
      </rPr>
      <t xml:space="preserve"> + Umbauzuschlag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</si>
</sst>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42" formatCode="_-&quot;€&quot;\ * #,##0_-;\-&quot;€&quot;\ * #,##0_-;_-&quot;€&quot;\ * &quot;-&quot;_-;_-@_-"/>
    <numFmt numFmtId="44" formatCode="_-&quot;€&quot;\ * #,##0.00_-;\-&quot;€&quot;\ * #,##0.00_-;_-&quot;€&quot;\ * &quot;-&quot;??_-;_-@_-"/>
    <numFmt numFmtId="43" formatCode="_-* #,##0.00_-;\-* #,##0.00_-;_-* &quot;-&quot;??_-;_-@_-"/>
    <numFmt numFmtId="164" formatCode="#"/>
    <numFmt numFmtId="165" formatCode="&quot;.&quot;0#"/>
    <numFmt numFmtId="166" formatCode="0.000%"/>
    <numFmt numFmtId="167" formatCode="#,##0&quot; öS&quot;"/>
    <numFmt numFmtId="168" formatCode="#,##0&quot; €&quot;"/>
    <numFmt numFmtId="169" formatCode="#,##0.00000"/>
    <numFmt numFmtId="170" formatCode="_-* #,##0.0000_-;\-* #,##0.0000_-;_-* &quot;-&quot;??_-;_-@_-"/>
    <numFmt numFmtId="171" formatCode="0.0%"/>
    <numFmt numFmtId="172" formatCode="#,##0.00\ &quot;m³&quot;"/>
    <numFmt numFmtId="173" formatCode="#,##0\ &quot;m³&quot;"/>
    <numFmt numFmtId="174" formatCode="0.0"/>
    <numFmt numFmtId="175" formatCode="#,##0\ &quot;h&quot;"/>
    <numFmt numFmtId="176" formatCode="#,##0.00\ &quot;€/h&quot;"/>
    <numFmt numFmtId="177" formatCode="0.0000%"/>
    <numFmt numFmtId="178" formatCode="#,##0\ &quot;€ / m³&quot;"/>
  </numFmts>
  <fonts count="61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0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indexed="9"/>
      <name val="Arial"/>
      <family val="2"/>
    </font>
    <font>
      <vertAlign val="subscript"/>
      <sz val="10"/>
      <name val="Arial"/>
      <family val="2"/>
    </font>
    <font>
      <sz val="10"/>
      <name val="Arial"/>
      <family val="2"/>
    </font>
    <font>
      <b/>
      <sz val="12"/>
      <color indexed="8"/>
      <name val="Arial"/>
      <family val="2"/>
    </font>
    <font>
      <sz val="7"/>
      <color indexed="8"/>
      <name val="Arial"/>
      <family val="2"/>
    </font>
    <font>
      <b/>
      <sz val="13"/>
      <color indexed="9"/>
      <name val="Arial"/>
      <family val="2"/>
    </font>
    <font>
      <sz val="8"/>
      <color indexed="8"/>
      <name val="Arial"/>
      <family val="2"/>
    </font>
    <font>
      <b/>
      <sz val="13"/>
      <name val="Arial"/>
      <family val="2"/>
    </font>
    <font>
      <b/>
      <sz val="8"/>
      <name val="Arial"/>
      <family val="2"/>
    </font>
    <font>
      <vertAlign val="superscript"/>
      <sz val="10"/>
      <name val="Arial"/>
      <family val="2"/>
    </font>
    <font>
      <i/>
      <sz val="10"/>
      <color indexed="8"/>
      <name val="Arial"/>
      <family val="2"/>
    </font>
    <font>
      <sz val="12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theme="0" tint="-0.499984740745262"/>
      <name val="Arial"/>
      <family val="2"/>
    </font>
    <font>
      <sz val="8"/>
      <color theme="1" tint="0.499984740745262"/>
      <name val="Arial"/>
      <family val="2"/>
    </font>
    <font>
      <sz val="10"/>
      <color theme="1" tint="0.499984740745262"/>
      <name val="Arial"/>
      <family val="2"/>
    </font>
    <font>
      <sz val="9"/>
      <color theme="1" tint="0.499984740745262"/>
      <name val="Arial"/>
      <family val="2"/>
    </font>
    <font>
      <sz val="10"/>
      <color theme="0" tint="-0.34998626667073579"/>
      <name val="Arial"/>
      <family val="2"/>
    </font>
    <font>
      <b/>
      <sz val="13"/>
      <color theme="0"/>
      <name val="Arial"/>
      <family val="2"/>
    </font>
    <font>
      <b/>
      <sz val="13"/>
      <color theme="0"/>
      <name val="Calibri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8"/>
      <color theme="0"/>
      <name val="Arial"/>
      <family val="2"/>
    </font>
    <font>
      <sz val="9"/>
      <color theme="0" tint="-0.499984740745262"/>
      <name val="Arial"/>
      <family val="2"/>
    </font>
    <font>
      <sz val="10"/>
      <color theme="0" tint="-0.249977111117893"/>
      <name val="Arial"/>
      <family val="2"/>
    </font>
    <font>
      <sz val="9"/>
      <color theme="0" tint="-0.249977111117893"/>
      <name val="Arial"/>
      <family val="2"/>
    </font>
    <font>
      <sz val="9"/>
      <color rgb="FFFF0000"/>
      <name val="Arial"/>
      <family val="2"/>
    </font>
    <font>
      <b/>
      <sz val="8"/>
      <color rgb="FF000000"/>
      <name val="Arial"/>
      <family val="2"/>
    </font>
    <font>
      <sz val="8"/>
      <color rgb="FF808080"/>
      <name val="Arial"/>
      <family val="2"/>
    </font>
    <font>
      <sz val="10"/>
      <color rgb="FF0070C0"/>
      <name val="Arial"/>
      <family val="2"/>
    </font>
    <font>
      <sz val="9"/>
      <color theme="0" tint="-0.34998626667073579"/>
      <name val="Arial"/>
      <family val="2"/>
    </font>
    <font>
      <sz val="9"/>
      <color theme="0"/>
      <name val="Arial"/>
      <family val="2"/>
    </font>
    <font>
      <b/>
      <sz val="9"/>
      <color theme="0"/>
      <name val="Arial"/>
      <family val="2"/>
    </font>
    <font>
      <vertAlign val="subscript"/>
      <sz val="10"/>
      <color theme="0"/>
      <name val="Arial"/>
      <family val="2"/>
    </font>
    <font>
      <vertAlign val="superscript"/>
      <sz val="10"/>
      <color theme="0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A5A5A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AEFC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6" tint="0.59999389629810485"/>
        <bgColor indexed="64"/>
      </patternFill>
    </fill>
  </fills>
  <borders count="37">
    <border>
      <left/>
      <right/>
      <top/>
      <bottom/>
      <diagonal/>
    </border>
    <border>
      <left style="hair">
        <color indexed="23"/>
      </left>
      <right style="hair">
        <color indexed="23"/>
      </right>
      <top style="hair">
        <color indexed="23"/>
      </top>
      <bottom style="hair">
        <color indexed="23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3743705557422"/>
      </bottom>
      <diagonal/>
    </border>
    <border>
      <left/>
      <right/>
      <top style="thin">
        <color theme="0" tint="-0.14993743705557422"/>
      </top>
      <bottom style="thin">
        <color theme="0" tint="-0.14993743705557422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/>
      <bottom style="hair">
        <color theme="0"/>
      </bottom>
      <diagonal/>
    </border>
    <border>
      <left/>
      <right/>
      <top style="hair">
        <color theme="0"/>
      </top>
      <bottom style="hair">
        <color theme="0"/>
      </bottom>
      <diagonal/>
    </border>
    <border>
      <left/>
      <right/>
      <top style="thin">
        <color theme="0" tint="-0.14996795556505021"/>
      </top>
      <bottom/>
      <diagonal/>
    </border>
    <border>
      <left/>
      <right/>
      <top style="thin">
        <color theme="0"/>
      </top>
      <bottom style="thin">
        <color theme="0" tint="-0.14996795556505021"/>
      </bottom>
      <diagonal/>
    </border>
    <border>
      <left style="thin">
        <color theme="0"/>
      </left>
      <right/>
      <top/>
      <bottom/>
      <diagonal/>
    </border>
    <border>
      <left/>
      <right/>
      <top style="thin">
        <color theme="0"/>
      </top>
      <bottom style="hair">
        <color indexed="64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 style="hair">
        <color theme="0"/>
      </bottom>
      <diagonal/>
    </border>
    <border>
      <left/>
      <right/>
      <top/>
      <bottom style="thin">
        <color theme="0" tint="-0.14993743705557422"/>
      </bottom>
      <diagonal/>
    </border>
    <border>
      <left style="thin">
        <color theme="0"/>
      </left>
      <right/>
      <top/>
      <bottom style="hair">
        <color indexed="64"/>
      </bottom>
      <diagonal/>
    </border>
    <border>
      <left style="thin">
        <color theme="0"/>
      </left>
      <right/>
      <top style="hair">
        <color theme="0"/>
      </top>
      <bottom style="hair">
        <color indexed="64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0"/>
      </top>
      <bottom/>
      <diagonal/>
    </border>
    <border>
      <left/>
      <right/>
      <top/>
      <bottom style="dotted">
        <color theme="0" tint="-4.9989318521683403E-2"/>
      </bottom>
      <diagonal/>
    </border>
    <border>
      <left/>
      <right/>
      <top style="dotted">
        <color theme="0" tint="-4.9989318521683403E-2"/>
      </top>
      <bottom style="dotted">
        <color theme="0" tint="-4.9989318521683403E-2"/>
      </bottom>
      <diagonal/>
    </border>
    <border>
      <left/>
      <right/>
      <top style="dotted">
        <color theme="0" tint="-4.9989318521683403E-2"/>
      </top>
      <bottom/>
      <diagonal/>
    </border>
  </borders>
  <cellStyleXfs count="43">
    <xf numFmtId="0" fontId="0" fillId="0" borderId="0"/>
    <xf numFmtId="0" fontId="23" fillId="2" borderId="0" applyNumberFormat="0" applyBorder="0" applyAlignment="0" applyProtection="0"/>
    <xf numFmtId="0" fontId="23" fillId="3" borderId="0" applyNumberFormat="0" applyBorder="0" applyAlignment="0" applyProtection="0"/>
    <xf numFmtId="0" fontId="23" fillId="4" borderId="0" applyNumberFormat="0" applyBorder="0" applyAlignment="0" applyProtection="0"/>
    <xf numFmtId="0" fontId="23" fillId="5" borderId="0" applyNumberFormat="0" applyBorder="0" applyAlignment="0" applyProtection="0"/>
    <xf numFmtId="0" fontId="23" fillId="6" borderId="0" applyNumberFormat="0" applyBorder="0" applyAlignment="0" applyProtection="0"/>
    <xf numFmtId="0" fontId="23" fillId="7" borderId="0" applyNumberFormat="0" applyBorder="0" applyAlignment="0" applyProtection="0"/>
    <xf numFmtId="0" fontId="24" fillId="8" borderId="7" applyNumberFormat="0" applyAlignment="0" applyProtection="0"/>
    <xf numFmtId="0" fontId="25" fillId="8" borderId="8" applyNumberFormat="0" applyAlignment="0" applyProtection="0"/>
    <xf numFmtId="43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6" fillId="9" borderId="8" applyNumberFormat="0" applyAlignment="0" applyProtection="0"/>
    <xf numFmtId="0" fontId="27" fillId="0" borderId="9" applyNumberFormat="0" applyFill="0" applyAlignment="0" applyProtection="0"/>
    <xf numFmtId="0" fontId="28" fillId="0" borderId="0" applyNumberFormat="0" applyFill="0" applyBorder="0" applyAlignment="0" applyProtection="0"/>
    <xf numFmtId="44" fontId="2" fillId="0" borderId="0" applyFont="0" applyFill="0" applyBorder="0" applyAlignment="0" applyProtection="0"/>
    <xf numFmtId="3" fontId="5" fillId="10" borderId="1"/>
    <xf numFmtId="0" fontId="29" fillId="11" borderId="0" applyNumberFormat="0" applyBorder="0" applyAlignment="0" applyProtection="0"/>
    <xf numFmtId="0" fontId="12" fillId="0" borderId="0" applyFont="0" applyFill="0" applyBorder="0" applyAlignment="0" applyProtection="0"/>
    <xf numFmtId="0" fontId="30" fillId="12" borderId="0" applyNumberFormat="0" applyBorder="0" applyAlignment="0" applyProtection="0"/>
    <xf numFmtId="0" fontId="22" fillId="13" borderId="10" applyNumberFormat="0" applyFont="0" applyAlignment="0" applyProtection="0"/>
    <xf numFmtId="9" fontId="22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1" fillId="14" borderId="0" applyNumberFormat="0" applyBorder="0" applyAlignment="0" applyProtection="0"/>
    <xf numFmtId="0" fontId="22" fillId="0" borderId="0"/>
    <xf numFmtId="0" fontId="2" fillId="0" borderId="0"/>
    <xf numFmtId="0" fontId="4" fillId="0" borderId="0"/>
    <xf numFmtId="0" fontId="22" fillId="0" borderId="0"/>
    <xf numFmtId="0" fontId="2" fillId="0" borderId="0"/>
    <xf numFmtId="0" fontId="2" fillId="0" borderId="0"/>
    <xf numFmtId="0" fontId="12" fillId="0" borderId="0"/>
    <xf numFmtId="0" fontId="7" fillId="0" borderId="0"/>
    <xf numFmtId="0" fontId="32" fillId="0" borderId="0" applyNumberFormat="0" applyFill="0" applyBorder="0" applyAlignment="0" applyProtection="0"/>
    <xf numFmtId="0" fontId="33" fillId="0" borderId="11" applyNumberFormat="0" applyFill="0" applyAlignment="0" applyProtection="0"/>
    <xf numFmtId="0" fontId="34" fillId="0" borderId="12" applyNumberFormat="0" applyFill="0" applyAlignment="0" applyProtection="0"/>
    <xf numFmtId="0" fontId="35" fillId="0" borderId="13" applyNumberFormat="0" applyFill="0" applyAlignment="0" applyProtection="0"/>
    <xf numFmtId="0" fontId="35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37" fillId="0" borderId="0" applyNumberFormat="0" applyFill="0" applyBorder="0" applyAlignment="0" applyProtection="0"/>
    <xf numFmtId="0" fontId="38" fillId="15" borderId="15" applyNumberFormat="0" applyAlignment="0" applyProtection="0"/>
    <xf numFmtId="43" fontId="22" fillId="0" borderId="0" applyFont="0" applyFill="0" applyBorder="0" applyAlignment="0" applyProtection="0"/>
  </cellStyleXfs>
  <cellXfs count="309">
    <xf numFmtId="0" fontId="0" fillId="0" borderId="0" xfId="0"/>
    <xf numFmtId="0" fontId="5" fillId="0" borderId="0" xfId="33" applyFont="1"/>
    <xf numFmtId="0" fontId="6" fillId="0" borderId="0" xfId="33" applyFont="1" applyAlignment="1">
      <alignment vertical="center"/>
    </xf>
    <xf numFmtId="1" fontId="5" fillId="0" borderId="0" xfId="33" applyNumberFormat="1" applyFont="1" applyAlignment="1">
      <alignment horizontal="left"/>
    </xf>
    <xf numFmtId="164" fontId="5" fillId="0" borderId="0" xfId="33" applyNumberFormat="1" applyFont="1" applyAlignment="1">
      <alignment horizontal="left"/>
    </xf>
    <xf numFmtId="165" fontId="5" fillId="0" borderId="0" xfId="33" applyNumberFormat="1" applyFont="1" applyAlignment="1">
      <alignment horizontal="left"/>
    </xf>
    <xf numFmtId="0" fontId="6" fillId="0" borderId="0" xfId="33" applyFont="1" applyAlignment="1">
      <alignment horizontal="left"/>
    </xf>
    <xf numFmtId="10" fontId="5" fillId="0" borderId="0" xfId="33" applyNumberFormat="1" applyFont="1" applyAlignment="1">
      <alignment horizontal="right"/>
    </xf>
    <xf numFmtId="3" fontId="5" fillId="0" borderId="0" xfId="33" applyNumberFormat="1" applyFont="1" applyAlignment="1">
      <alignment horizontal="right"/>
    </xf>
    <xf numFmtId="0" fontId="13" fillId="0" borderId="0" xfId="33" applyFont="1" applyAlignment="1">
      <alignment vertical="center"/>
    </xf>
    <xf numFmtId="0" fontId="14" fillId="0" borderId="0" xfId="33" applyFont="1" applyAlignment="1">
      <alignment vertical="center"/>
    </xf>
    <xf numFmtId="10" fontId="14" fillId="0" borderId="0" xfId="33" applyNumberFormat="1" applyFont="1" applyAlignment="1">
      <alignment horizontal="center" vertical="center"/>
    </xf>
    <xf numFmtId="1" fontId="5" fillId="0" borderId="0" xfId="33" applyNumberFormat="1" applyFont="1" applyAlignment="1">
      <alignment horizontal="center"/>
    </xf>
    <xf numFmtId="0" fontId="15" fillId="0" borderId="0" xfId="33" applyFont="1"/>
    <xf numFmtId="0" fontId="5" fillId="0" borderId="0" xfId="33" applyFont="1" applyAlignment="1">
      <alignment vertical="top"/>
    </xf>
    <xf numFmtId="0" fontId="6" fillId="0" borderId="0" xfId="33" applyFont="1" applyAlignment="1">
      <alignment vertical="top"/>
    </xf>
    <xf numFmtId="0" fontId="2" fillId="0" borderId="0" xfId="30" applyAlignment="1">
      <alignment vertical="center"/>
    </xf>
    <xf numFmtId="0" fontId="2" fillId="0" borderId="2" xfId="30" applyBorder="1" applyAlignment="1">
      <alignment vertical="center"/>
    </xf>
    <xf numFmtId="0" fontId="2" fillId="0" borderId="3" xfId="30" applyBorder="1" applyAlignment="1">
      <alignment vertical="center"/>
    </xf>
    <xf numFmtId="0" fontId="2" fillId="0" borderId="2" xfId="30" applyBorder="1"/>
    <xf numFmtId="3" fontId="5" fillId="0" borderId="0" xfId="33" applyNumberFormat="1" applyFont="1"/>
    <xf numFmtId="0" fontId="2" fillId="0" borderId="0" xfId="30"/>
    <xf numFmtId="0" fontId="2" fillId="0" borderId="0" xfId="30" applyAlignment="1">
      <alignment horizontal="right"/>
    </xf>
    <xf numFmtId="166" fontId="2" fillId="0" borderId="0" xfId="30" applyNumberFormat="1"/>
    <xf numFmtId="167" fontId="7" fillId="0" borderId="0" xfId="30" applyNumberFormat="1" applyFont="1"/>
    <xf numFmtId="10" fontId="2" fillId="0" borderId="0" xfId="30" applyNumberFormat="1" applyAlignment="1">
      <alignment horizontal="right"/>
    </xf>
    <xf numFmtId="169" fontId="2" fillId="0" borderId="0" xfId="30" applyNumberFormat="1" applyAlignment="1">
      <alignment vertical="center"/>
    </xf>
    <xf numFmtId="168" fontId="9" fillId="0" borderId="0" xfId="30" applyNumberFormat="1" applyFont="1" applyAlignment="1">
      <alignment vertical="center"/>
    </xf>
    <xf numFmtId="3" fontId="14" fillId="0" borderId="0" xfId="33" applyNumberFormat="1" applyFont="1" applyAlignment="1">
      <alignment horizontal="center" vertical="center"/>
    </xf>
    <xf numFmtId="10" fontId="5" fillId="0" borderId="0" xfId="33" applyNumberFormat="1" applyFont="1"/>
    <xf numFmtId="0" fontId="8" fillId="0" borderId="0" xfId="33" applyFont="1"/>
    <xf numFmtId="3" fontId="8" fillId="0" borderId="0" xfId="33" applyNumberFormat="1" applyFont="1"/>
    <xf numFmtId="0" fontId="5" fillId="0" borderId="2" xfId="33" applyFont="1" applyBorder="1"/>
    <xf numFmtId="0" fontId="5" fillId="0" borderId="3" xfId="33" applyFont="1" applyBorder="1"/>
    <xf numFmtId="0" fontId="5" fillId="0" borderId="0" xfId="33" applyFont="1" applyAlignment="1">
      <alignment horizontal="left"/>
    </xf>
    <xf numFmtId="3" fontId="5" fillId="0" borderId="0" xfId="33" applyNumberFormat="1" applyFont="1" applyAlignment="1">
      <alignment horizontal="left" wrapText="1"/>
    </xf>
    <xf numFmtId="0" fontId="0" fillId="0" borderId="0" xfId="0" applyAlignment="1">
      <alignment horizontal="left"/>
    </xf>
    <xf numFmtId="10" fontId="16" fillId="0" borderId="0" xfId="33" applyNumberFormat="1" applyFont="1" applyAlignment="1">
      <alignment horizontal="left" wrapText="1"/>
    </xf>
    <xf numFmtId="3" fontId="8" fillId="0" borderId="0" xfId="33" applyNumberFormat="1" applyFont="1" applyAlignment="1">
      <alignment horizontal="right"/>
    </xf>
    <xf numFmtId="10" fontId="5" fillId="0" borderId="2" xfId="33" applyNumberFormat="1" applyFont="1" applyBorder="1" applyAlignment="1">
      <alignment horizontal="right"/>
    </xf>
    <xf numFmtId="168" fontId="2" fillId="0" borderId="0" xfId="30" applyNumberFormat="1"/>
    <xf numFmtId="168" fontId="7" fillId="0" borderId="0" xfId="30" applyNumberFormat="1" applyFont="1"/>
    <xf numFmtId="9" fontId="2" fillId="0" borderId="0" xfId="30" applyNumberFormat="1" applyAlignment="1">
      <alignment horizontal="center"/>
    </xf>
    <xf numFmtId="166" fontId="2" fillId="0" borderId="0" xfId="30" applyNumberFormat="1" applyAlignment="1">
      <alignment horizontal="left"/>
    </xf>
    <xf numFmtId="0" fontId="2" fillId="0" borderId="4" xfId="30" applyBorder="1"/>
    <xf numFmtId="0" fontId="2" fillId="0" borderId="4" xfId="30" applyBorder="1" applyAlignment="1">
      <alignment horizontal="right"/>
    </xf>
    <xf numFmtId="166" fontId="2" fillId="0" borderId="4" xfId="30" applyNumberFormat="1" applyBorder="1"/>
    <xf numFmtId="0" fontId="1" fillId="0" borderId="0" xfId="30" applyFont="1"/>
    <xf numFmtId="166" fontId="1" fillId="0" borderId="0" xfId="30" applyNumberFormat="1" applyFont="1"/>
    <xf numFmtId="167" fontId="7" fillId="0" borderId="4" xfId="30" applyNumberFormat="1" applyFont="1" applyBorder="1"/>
    <xf numFmtId="167" fontId="7" fillId="0" borderId="5" xfId="30" applyNumberFormat="1" applyFont="1" applyBorder="1"/>
    <xf numFmtId="0" fontId="2" fillId="0" borderId="5" xfId="30" applyBorder="1"/>
    <xf numFmtId="0" fontId="10" fillId="0" borderId="0" xfId="30" applyFont="1"/>
    <xf numFmtId="166" fontId="10" fillId="0" borderId="0" xfId="30" applyNumberFormat="1" applyFont="1"/>
    <xf numFmtId="0" fontId="17" fillId="16" borderId="0" xfId="33" applyFont="1" applyFill="1"/>
    <xf numFmtId="0" fontId="17" fillId="0" borderId="0" xfId="33" applyFont="1"/>
    <xf numFmtId="9" fontId="2" fillId="0" borderId="4" xfId="30" applyNumberFormat="1" applyBorder="1" applyAlignment="1">
      <alignment horizontal="center"/>
    </xf>
    <xf numFmtId="9" fontId="2" fillId="0" borderId="5" xfId="30" applyNumberFormat="1" applyBorder="1" applyAlignment="1">
      <alignment horizontal="center"/>
    </xf>
    <xf numFmtId="0" fontId="1" fillId="16" borderId="0" xfId="33" applyFont="1" applyFill="1" applyAlignment="1">
      <alignment horizontal="left"/>
    </xf>
    <xf numFmtId="3" fontId="13" fillId="0" borderId="0" xfId="33" applyNumberFormat="1" applyFont="1" applyAlignment="1">
      <alignment vertical="center"/>
    </xf>
    <xf numFmtId="9" fontId="5" fillId="0" borderId="0" xfId="33" applyNumberFormat="1" applyFont="1" applyAlignment="1">
      <alignment horizontal="right"/>
    </xf>
    <xf numFmtId="10" fontId="14" fillId="0" borderId="0" xfId="33" applyNumberFormat="1" applyFont="1" applyAlignment="1">
      <alignment horizontal="right" vertical="center"/>
    </xf>
    <xf numFmtId="9" fontId="5" fillId="0" borderId="0" xfId="33" applyNumberFormat="1" applyFont="1" applyAlignment="1">
      <alignment horizontal="right" vertical="center"/>
    </xf>
    <xf numFmtId="9" fontId="1" fillId="16" borderId="0" xfId="33" applyNumberFormat="1" applyFont="1" applyFill="1"/>
    <xf numFmtId="0" fontId="6" fillId="0" borderId="16" xfId="33" applyFont="1" applyBorder="1" applyAlignment="1">
      <alignment vertical="center"/>
    </xf>
    <xf numFmtId="0" fontId="13" fillId="0" borderId="2" xfId="33" applyFont="1" applyBorder="1" applyAlignment="1">
      <alignment vertical="center"/>
    </xf>
    <xf numFmtId="0" fontId="6" fillId="0" borderId="2" xfId="33" applyFont="1" applyBorder="1" applyAlignment="1">
      <alignment vertical="center"/>
    </xf>
    <xf numFmtId="1" fontId="9" fillId="16" borderId="16" xfId="33" applyNumberFormat="1" applyFont="1" applyFill="1" applyBorder="1" applyAlignment="1">
      <alignment horizontal="left" vertical="center"/>
    </xf>
    <xf numFmtId="164" fontId="9" fillId="16" borderId="16" xfId="33" applyNumberFormat="1" applyFont="1" applyFill="1" applyBorder="1" applyAlignment="1">
      <alignment horizontal="left" vertical="center"/>
    </xf>
    <xf numFmtId="0" fontId="9" fillId="16" borderId="16" xfId="33" applyFont="1" applyFill="1" applyBorder="1" applyAlignment="1">
      <alignment vertical="center"/>
    </xf>
    <xf numFmtId="9" fontId="5" fillId="0" borderId="16" xfId="33" applyNumberFormat="1" applyFont="1" applyBorder="1" applyAlignment="1">
      <alignment horizontal="right" vertical="center"/>
    </xf>
    <xf numFmtId="1" fontId="5" fillId="0" borderId="17" xfId="33" applyNumberFormat="1" applyFont="1" applyBorder="1" applyAlignment="1">
      <alignment horizontal="left"/>
    </xf>
    <xf numFmtId="164" fontId="5" fillId="0" borderId="17" xfId="33" applyNumberFormat="1" applyFont="1" applyBorder="1" applyAlignment="1">
      <alignment horizontal="left"/>
    </xf>
    <xf numFmtId="0" fontId="5" fillId="0" borderId="17" xfId="33" applyFont="1" applyBorder="1"/>
    <xf numFmtId="9" fontId="5" fillId="0" borderId="17" xfId="33" applyNumberFormat="1" applyFont="1" applyBorder="1" applyAlignment="1">
      <alignment horizontal="right"/>
    </xf>
    <xf numFmtId="1" fontId="5" fillId="0" borderId="18" xfId="33" applyNumberFormat="1" applyFont="1" applyBorder="1" applyAlignment="1">
      <alignment horizontal="left"/>
    </xf>
    <xf numFmtId="164" fontId="5" fillId="0" borderId="18" xfId="33" applyNumberFormat="1" applyFont="1" applyBorder="1" applyAlignment="1">
      <alignment horizontal="left"/>
    </xf>
    <xf numFmtId="0" fontId="5" fillId="0" borderId="18" xfId="33" applyFont="1" applyBorder="1"/>
    <xf numFmtId="9" fontId="5" fillId="0" borderId="18" xfId="33" applyNumberFormat="1" applyFont="1" applyBorder="1" applyAlignment="1">
      <alignment horizontal="right"/>
    </xf>
    <xf numFmtId="165" fontId="5" fillId="0" borderId="17" xfId="33" applyNumberFormat="1" applyFont="1" applyBorder="1" applyAlignment="1">
      <alignment horizontal="left"/>
    </xf>
    <xf numFmtId="0" fontId="5" fillId="0" borderId="18" xfId="33" applyFont="1" applyBorder="1" applyAlignment="1">
      <alignment horizontal="left"/>
    </xf>
    <xf numFmtId="3" fontId="14" fillId="0" borderId="0" xfId="33" applyNumberFormat="1" applyFont="1" applyAlignment="1">
      <alignment horizontal="right" vertical="center"/>
    </xf>
    <xf numFmtId="42" fontId="1" fillId="16" borderId="0" xfId="33" applyNumberFormat="1" applyFont="1" applyFill="1" applyAlignment="1">
      <alignment horizontal="right"/>
    </xf>
    <xf numFmtId="42" fontId="2" fillId="0" borderId="0" xfId="30" applyNumberFormat="1"/>
    <xf numFmtId="42" fontId="1" fillId="0" borderId="0" xfId="30" applyNumberFormat="1" applyFont="1"/>
    <xf numFmtId="42" fontId="2" fillId="0" borderId="4" xfId="30" applyNumberFormat="1" applyBorder="1"/>
    <xf numFmtId="0" fontId="1" fillId="16" borderId="0" xfId="30" applyFont="1" applyFill="1"/>
    <xf numFmtId="0" fontId="1" fillId="16" borderId="0" xfId="30" applyFont="1" applyFill="1" applyAlignment="1">
      <alignment horizontal="right"/>
    </xf>
    <xf numFmtId="166" fontId="1" fillId="16" borderId="0" xfId="30" applyNumberFormat="1" applyFont="1" applyFill="1"/>
    <xf numFmtId="0" fontId="2" fillId="16" borderId="0" xfId="30" applyFill="1"/>
    <xf numFmtId="168" fontId="18" fillId="16" borderId="0" xfId="30" applyNumberFormat="1" applyFont="1" applyFill="1"/>
    <xf numFmtId="42" fontId="1" fillId="16" borderId="0" xfId="30" applyNumberFormat="1" applyFont="1" applyFill="1"/>
    <xf numFmtId="171" fontId="5" fillId="0" borderId="19" xfId="33" applyNumberFormat="1" applyFont="1" applyBorder="1" applyAlignment="1">
      <alignment horizontal="right"/>
    </xf>
    <xf numFmtId="172" fontId="2" fillId="0" borderId="0" xfId="30" applyNumberFormat="1" applyAlignment="1">
      <alignment vertical="center"/>
    </xf>
    <xf numFmtId="0" fontId="9" fillId="0" borderId="0" xfId="33" applyFont="1" applyAlignment="1">
      <alignment horizontal="left"/>
    </xf>
    <xf numFmtId="171" fontId="5" fillId="17" borderId="20" xfId="33" applyNumberFormat="1" applyFont="1" applyFill="1" applyBorder="1" applyAlignment="1" applyProtection="1">
      <alignment horizontal="right"/>
      <protection locked="0"/>
    </xf>
    <xf numFmtId="171" fontId="5" fillId="17" borderId="19" xfId="33" applyNumberFormat="1" applyFont="1" applyFill="1" applyBorder="1" applyAlignment="1" applyProtection="1">
      <alignment horizontal="right"/>
      <protection locked="0"/>
    </xf>
    <xf numFmtId="171" fontId="6" fillId="0" borderId="19" xfId="33" applyNumberFormat="1" applyFont="1" applyBorder="1" applyAlignment="1">
      <alignment horizontal="right"/>
    </xf>
    <xf numFmtId="1" fontId="3" fillId="17" borderId="2" xfId="12" applyNumberFormat="1" applyFont="1" applyFill="1" applyBorder="1" applyAlignment="1" applyProtection="1">
      <alignment horizontal="center" vertical="center"/>
      <protection locked="0"/>
    </xf>
    <xf numFmtId="1" fontId="3" fillId="17" borderId="3" xfId="12" applyNumberFormat="1" applyFont="1" applyFill="1" applyBorder="1" applyAlignment="1" applyProtection="1">
      <alignment horizontal="center" vertical="center"/>
      <protection locked="0"/>
    </xf>
    <xf numFmtId="173" fontId="2" fillId="17" borderId="0" xfId="30" applyNumberFormat="1" applyFill="1" applyAlignment="1" applyProtection="1">
      <alignment vertical="center"/>
      <protection locked="0"/>
    </xf>
    <xf numFmtId="0" fontId="39" fillId="0" borderId="0" xfId="33" applyFont="1"/>
    <xf numFmtId="42" fontId="8" fillId="0" borderId="0" xfId="33" applyNumberFormat="1" applyFont="1"/>
    <xf numFmtId="42" fontId="8" fillId="0" borderId="0" xfId="33" applyNumberFormat="1" applyFont="1" applyAlignment="1">
      <alignment horizontal="right"/>
    </xf>
    <xf numFmtId="42" fontId="5" fillId="0" borderId="0" xfId="33" applyNumberFormat="1" applyFont="1" applyAlignment="1">
      <alignment horizontal="right"/>
    </xf>
    <xf numFmtId="1" fontId="8" fillId="0" borderId="16" xfId="33" applyNumberFormat="1" applyFont="1" applyBorder="1" applyAlignment="1">
      <alignment horizontal="left" vertical="center"/>
    </xf>
    <xf numFmtId="164" fontId="8" fillId="0" borderId="16" xfId="33" applyNumberFormat="1" applyFont="1" applyBorder="1" applyAlignment="1">
      <alignment horizontal="left" vertical="center"/>
    </xf>
    <xf numFmtId="0" fontId="8" fillId="0" borderId="16" xfId="33" applyFont="1" applyBorder="1" applyAlignment="1">
      <alignment vertical="center"/>
    </xf>
    <xf numFmtId="42" fontId="8" fillId="0" borderId="16" xfId="33" applyNumberFormat="1" applyFont="1" applyBorder="1"/>
    <xf numFmtId="171" fontId="2" fillId="0" borderId="0" xfId="30" applyNumberFormat="1" applyAlignment="1">
      <alignment horizontal="right"/>
    </xf>
    <xf numFmtId="174" fontId="13" fillId="0" borderId="0" xfId="33" applyNumberFormat="1" applyFont="1" applyAlignment="1">
      <alignment vertical="center"/>
    </xf>
    <xf numFmtId="171" fontId="2" fillId="0" borderId="4" xfId="30" applyNumberFormat="1" applyBorder="1" applyAlignment="1">
      <alignment horizontal="center"/>
    </xf>
    <xf numFmtId="171" fontId="2" fillId="0" borderId="5" xfId="30" applyNumberFormat="1" applyBorder="1" applyAlignment="1">
      <alignment horizontal="center"/>
    </xf>
    <xf numFmtId="0" fontId="2" fillId="16" borderId="0" xfId="30" applyFill="1" applyAlignment="1">
      <alignment horizontal="right"/>
    </xf>
    <xf numFmtId="174" fontId="8" fillId="0" borderId="0" xfId="33" applyNumberFormat="1" applyFont="1" applyAlignment="1">
      <alignment horizontal="right" vertical="center"/>
    </xf>
    <xf numFmtId="171" fontId="2" fillId="0" borderId="0" xfId="30" applyNumberFormat="1" applyAlignment="1">
      <alignment horizontal="center"/>
    </xf>
    <xf numFmtId="171" fontId="5" fillId="0" borderId="16" xfId="33" applyNumberFormat="1" applyFont="1" applyBorder="1" applyAlignment="1">
      <alignment horizontal="right" vertical="center"/>
    </xf>
    <xf numFmtId="171" fontId="5" fillId="0" borderId="0" xfId="33" applyNumberFormat="1" applyFont="1" applyAlignment="1">
      <alignment horizontal="right"/>
    </xf>
    <xf numFmtId="171" fontId="5" fillId="0" borderId="17" xfId="33" applyNumberFormat="1" applyFont="1" applyBorder="1" applyAlignment="1">
      <alignment horizontal="right"/>
    </xf>
    <xf numFmtId="171" fontId="5" fillId="0" borderId="18" xfId="33" applyNumberFormat="1" applyFont="1" applyBorder="1" applyAlignment="1">
      <alignment horizontal="right"/>
    </xf>
    <xf numFmtId="171" fontId="5" fillId="0" borderId="0" xfId="33" applyNumberFormat="1" applyFont="1" applyAlignment="1">
      <alignment horizontal="right" vertical="center"/>
    </xf>
    <xf numFmtId="171" fontId="1" fillId="16" borderId="0" xfId="33" applyNumberFormat="1" applyFont="1" applyFill="1"/>
    <xf numFmtId="10" fontId="16" fillId="0" borderId="0" xfId="33" applyNumberFormat="1" applyFont="1" applyAlignment="1">
      <alignment horizontal="right" vertical="center"/>
    </xf>
    <xf numFmtId="3" fontId="16" fillId="0" borderId="0" xfId="33" applyNumberFormat="1" applyFont="1" applyAlignment="1">
      <alignment horizontal="center" vertical="center"/>
    </xf>
    <xf numFmtId="167" fontId="40" fillId="0" borderId="0" xfId="30" applyNumberFormat="1" applyFont="1"/>
    <xf numFmtId="171" fontId="41" fillId="0" borderId="0" xfId="30" applyNumberFormat="1" applyFont="1" applyAlignment="1">
      <alignment horizontal="center"/>
    </xf>
    <xf numFmtId="167" fontId="42" fillId="0" borderId="0" xfId="30" applyNumberFormat="1" applyFont="1" applyAlignment="1">
      <alignment horizontal="right"/>
    </xf>
    <xf numFmtId="42" fontId="8" fillId="10" borderId="19" xfId="33" applyNumberFormat="1" applyFont="1" applyFill="1" applyBorder="1"/>
    <xf numFmtId="42" fontId="8" fillId="10" borderId="21" xfId="33" applyNumberFormat="1" applyFont="1" applyFill="1" applyBorder="1"/>
    <xf numFmtId="42" fontId="8" fillId="10" borderId="22" xfId="33" applyNumberFormat="1" applyFont="1" applyFill="1" applyBorder="1"/>
    <xf numFmtId="42" fontId="8" fillId="16" borderId="16" xfId="33" applyNumberFormat="1" applyFont="1" applyFill="1" applyBorder="1"/>
    <xf numFmtId="42" fontId="8" fillId="16" borderId="0" xfId="33" applyNumberFormat="1" applyFont="1" applyFill="1"/>
    <xf numFmtId="42" fontId="8" fillId="16" borderId="20" xfId="33" applyNumberFormat="1" applyFont="1" applyFill="1" applyBorder="1"/>
    <xf numFmtId="42" fontId="8" fillId="17" borderId="20" xfId="33" applyNumberFormat="1" applyFont="1" applyFill="1" applyBorder="1" applyAlignment="1" applyProtection="1">
      <alignment vertical="center"/>
      <protection locked="0"/>
    </xf>
    <xf numFmtId="42" fontId="8" fillId="0" borderId="19" xfId="33" applyNumberFormat="1" applyFont="1" applyBorder="1"/>
    <xf numFmtId="42" fontId="8" fillId="17" borderId="19" xfId="33" applyNumberFormat="1" applyFont="1" applyFill="1" applyBorder="1" applyAlignment="1" applyProtection="1">
      <alignment vertical="center"/>
      <protection locked="0"/>
    </xf>
    <xf numFmtId="42" fontId="8" fillId="16" borderId="19" xfId="33" applyNumberFormat="1" applyFont="1" applyFill="1" applyBorder="1" applyAlignment="1">
      <alignment vertical="center"/>
    </xf>
    <xf numFmtId="42" fontId="8" fillId="17" borderId="19" xfId="33" applyNumberFormat="1" applyFont="1" applyFill="1" applyBorder="1" applyProtection="1">
      <protection locked="0"/>
    </xf>
    <xf numFmtId="174" fontId="16" fillId="0" borderId="0" xfId="33" applyNumberFormat="1" applyFont="1" applyAlignment="1">
      <alignment horizontal="right" vertical="center"/>
    </xf>
    <xf numFmtId="3" fontId="9" fillId="0" borderId="0" xfId="33" applyNumberFormat="1" applyFont="1"/>
    <xf numFmtId="10" fontId="8" fillId="0" borderId="16" xfId="22" applyNumberFormat="1" applyFont="1" applyFill="1" applyBorder="1" applyAlignment="1" applyProtection="1">
      <alignment vertical="center"/>
    </xf>
    <xf numFmtId="10" fontId="8" fillId="0" borderId="0" xfId="22" applyNumberFormat="1" applyFont="1" applyFill="1" applyBorder="1" applyAlignment="1" applyProtection="1">
      <alignment vertical="center"/>
    </xf>
    <xf numFmtId="42" fontId="0" fillId="0" borderId="0" xfId="0" applyNumberFormat="1"/>
    <xf numFmtId="3" fontId="6" fillId="0" borderId="0" xfId="33" applyNumberFormat="1" applyFont="1" applyAlignment="1">
      <alignment vertical="top" wrapText="1"/>
    </xf>
    <xf numFmtId="0" fontId="1" fillId="16" borderId="4" xfId="31" applyFont="1" applyFill="1" applyBorder="1" applyAlignment="1">
      <alignment vertical="center"/>
    </xf>
    <xf numFmtId="0" fontId="2" fillId="16" borderId="4" xfId="31" applyFill="1" applyBorder="1" applyAlignment="1">
      <alignment horizontal="right" vertical="center"/>
    </xf>
    <xf numFmtId="0" fontId="2" fillId="0" borderId="0" xfId="31" applyAlignment="1">
      <alignment vertical="center"/>
    </xf>
    <xf numFmtId="0" fontId="1" fillId="0" borderId="0" xfId="31" applyFont="1" applyAlignment="1">
      <alignment vertical="center"/>
    </xf>
    <xf numFmtId="1" fontId="3" fillId="0" borderId="0" xfId="12" applyNumberFormat="1" applyFont="1" applyBorder="1" applyAlignment="1" applyProtection="1">
      <alignment horizontal="center" vertical="center"/>
    </xf>
    <xf numFmtId="0" fontId="3" fillId="0" borderId="0" xfId="12" applyFont="1" applyBorder="1" applyAlignment="1" applyProtection="1">
      <alignment horizontal="center" vertical="center"/>
    </xf>
    <xf numFmtId="0" fontId="3" fillId="0" borderId="2" xfId="12" applyFont="1" applyBorder="1" applyAlignment="1" applyProtection="1">
      <alignment horizontal="center" vertical="center"/>
    </xf>
    <xf numFmtId="0" fontId="3" fillId="0" borderId="3" xfId="12" applyFont="1" applyBorder="1" applyAlignment="1" applyProtection="1">
      <alignment horizontal="center" vertical="center"/>
    </xf>
    <xf numFmtId="1" fontId="3" fillId="0" borderId="0" xfId="12" applyNumberFormat="1" applyFont="1" applyFill="1" applyBorder="1" applyAlignment="1" applyProtection="1">
      <alignment horizontal="center" vertical="center"/>
    </xf>
    <xf numFmtId="1" fontId="5" fillId="0" borderId="0" xfId="12" applyNumberFormat="1" applyFont="1" applyBorder="1" applyAlignment="1" applyProtection="1">
      <alignment horizontal="center" vertical="center"/>
    </xf>
    <xf numFmtId="1" fontId="5" fillId="0" borderId="0" xfId="12" applyNumberFormat="1" applyFont="1" applyFill="1" applyBorder="1" applyAlignment="1" applyProtection="1">
      <alignment horizontal="center" vertical="center"/>
    </xf>
    <xf numFmtId="1" fontId="5" fillId="16" borderId="0" xfId="12" applyNumberFormat="1" applyFont="1" applyFill="1" applyBorder="1" applyAlignment="1" applyProtection="1">
      <alignment horizontal="center" vertical="center"/>
    </xf>
    <xf numFmtId="0" fontId="8" fillId="0" borderId="0" xfId="31" applyFont="1" applyAlignment="1">
      <alignment vertical="center"/>
    </xf>
    <xf numFmtId="166" fontId="1" fillId="0" borderId="0" xfId="22" applyNumberFormat="1" applyFont="1" applyFill="1" applyAlignment="1" applyProtection="1">
      <alignment horizontal="right" vertical="center"/>
    </xf>
    <xf numFmtId="0" fontId="2" fillId="0" borderId="2" xfId="31" applyBorder="1" applyAlignment="1">
      <alignment vertical="center"/>
    </xf>
    <xf numFmtId="166" fontId="1" fillId="0" borderId="2" xfId="31" applyNumberFormat="1" applyFont="1" applyBorder="1" applyAlignment="1">
      <alignment horizontal="right" vertical="center"/>
    </xf>
    <xf numFmtId="166" fontId="1" fillId="0" borderId="0" xfId="31" applyNumberFormat="1" applyFont="1" applyAlignment="1">
      <alignment horizontal="right" vertical="center"/>
    </xf>
    <xf numFmtId="0" fontId="43" fillId="0" borderId="0" xfId="31" applyFont="1" applyAlignment="1">
      <alignment vertical="center"/>
    </xf>
    <xf numFmtId="0" fontId="43" fillId="0" borderId="2" xfId="31" applyFont="1" applyBorder="1" applyAlignment="1">
      <alignment vertical="center"/>
    </xf>
    <xf numFmtId="9" fontId="5" fillId="0" borderId="0" xfId="33" applyNumberFormat="1" applyFont="1" applyAlignment="1">
      <alignment horizontal="center"/>
    </xf>
    <xf numFmtId="174" fontId="16" fillId="0" borderId="0" xfId="33" applyNumberFormat="1" applyFont="1" applyAlignment="1">
      <alignment vertical="center"/>
    </xf>
    <xf numFmtId="171" fontId="8" fillId="0" borderId="0" xfId="22" applyNumberFormat="1" applyFont="1" applyFill="1" applyBorder="1" applyAlignment="1" applyProtection="1">
      <alignment vertical="center"/>
    </xf>
    <xf numFmtId="171" fontId="5" fillId="0" borderId="23" xfId="22" applyNumberFormat="1" applyFont="1" applyFill="1" applyBorder="1" applyAlignment="1" applyProtection="1">
      <alignment vertical="center"/>
    </xf>
    <xf numFmtId="171" fontId="5" fillId="0" borderId="0" xfId="33" applyNumberFormat="1" applyFont="1"/>
    <xf numFmtId="42" fontId="8" fillId="16" borderId="19" xfId="33" applyNumberFormat="1" applyFont="1" applyFill="1" applyBorder="1"/>
    <xf numFmtId="42" fontId="8" fillId="16" borderId="24" xfId="33" applyNumberFormat="1" applyFont="1" applyFill="1" applyBorder="1"/>
    <xf numFmtId="42" fontId="8" fillId="0" borderId="20" xfId="33" applyNumberFormat="1" applyFont="1" applyBorder="1"/>
    <xf numFmtId="0" fontId="44" fillId="18" borderId="0" xfId="33" applyFont="1" applyFill="1"/>
    <xf numFmtId="3" fontId="45" fillId="18" borderId="0" xfId="33" applyNumberFormat="1" applyFont="1" applyFill="1" applyAlignment="1">
      <alignment horizontal="center"/>
    </xf>
    <xf numFmtId="42" fontId="46" fillId="18" borderId="25" xfId="33" applyNumberFormat="1" applyFont="1" applyFill="1" applyBorder="1" applyAlignment="1">
      <alignment horizontal="right"/>
    </xf>
    <xf numFmtId="42" fontId="10" fillId="18" borderId="0" xfId="31" applyNumberFormat="1" applyFont="1" applyFill="1" applyAlignment="1">
      <alignment horizontal="right" vertical="center"/>
    </xf>
    <xf numFmtId="10" fontId="2" fillId="17" borderId="20" xfId="31" applyNumberFormat="1" applyFill="1" applyBorder="1" applyAlignment="1" applyProtection="1">
      <alignment horizontal="right" vertical="center"/>
      <protection locked="0"/>
    </xf>
    <xf numFmtId="10" fontId="2" fillId="17" borderId="19" xfId="31" applyNumberFormat="1" applyFill="1" applyBorder="1" applyAlignment="1" applyProtection="1">
      <alignment horizontal="right" vertical="center"/>
      <protection locked="0"/>
    </xf>
    <xf numFmtId="10" fontId="2" fillId="17" borderId="26" xfId="31" applyNumberFormat="1" applyFill="1" applyBorder="1" applyAlignment="1" applyProtection="1">
      <alignment horizontal="right" vertical="center"/>
      <protection locked="0"/>
    </xf>
    <xf numFmtId="10" fontId="2" fillId="0" borderId="0" xfId="30" applyNumberFormat="1" applyAlignment="1">
      <alignment horizontal="center"/>
    </xf>
    <xf numFmtId="10" fontId="2" fillId="17" borderId="0" xfId="30" applyNumberFormat="1" applyFill="1" applyAlignment="1" applyProtection="1">
      <alignment horizontal="right"/>
      <protection locked="0"/>
    </xf>
    <xf numFmtId="10" fontId="2" fillId="0" borderId="4" xfId="30" applyNumberFormat="1" applyBorder="1" applyAlignment="1">
      <alignment horizontal="center"/>
    </xf>
    <xf numFmtId="10" fontId="2" fillId="0" borderId="5" xfId="30" applyNumberFormat="1" applyBorder="1" applyAlignment="1">
      <alignment horizontal="center"/>
    </xf>
    <xf numFmtId="0" fontId="46" fillId="18" borderId="0" xfId="30" applyFont="1" applyFill="1"/>
    <xf numFmtId="166" fontId="46" fillId="18" borderId="0" xfId="30" applyNumberFormat="1" applyFont="1" applyFill="1"/>
    <xf numFmtId="0" fontId="47" fillId="18" borderId="0" xfId="30" applyFont="1" applyFill="1"/>
    <xf numFmtId="167" fontId="48" fillId="18" borderId="0" xfId="30" applyNumberFormat="1" applyFont="1" applyFill="1"/>
    <xf numFmtId="9" fontId="47" fillId="18" borderId="0" xfId="30" applyNumberFormat="1" applyFont="1" applyFill="1" applyAlignment="1">
      <alignment horizontal="center"/>
    </xf>
    <xf numFmtId="42" fontId="46" fillId="18" borderId="0" xfId="30" applyNumberFormat="1" applyFont="1" applyFill="1"/>
    <xf numFmtId="0" fontId="20" fillId="0" borderId="0" xfId="33" applyFont="1"/>
    <xf numFmtId="42" fontId="46" fillId="18" borderId="0" xfId="31" applyNumberFormat="1" applyFont="1" applyFill="1" applyAlignment="1">
      <alignment horizontal="right" vertical="center"/>
    </xf>
    <xf numFmtId="0" fontId="1" fillId="16" borderId="0" xfId="33" applyFont="1" applyFill="1" applyAlignment="1">
      <alignment horizontal="left" vertical="center"/>
    </xf>
    <xf numFmtId="0" fontId="17" fillId="16" borderId="0" xfId="33" applyFont="1" applyFill="1" applyAlignment="1">
      <alignment vertical="center"/>
    </xf>
    <xf numFmtId="0" fontId="46" fillId="18" borderId="0" xfId="33" applyFont="1" applyFill="1" applyAlignment="1">
      <alignment horizontal="left" vertical="center"/>
    </xf>
    <xf numFmtId="0" fontId="44" fillId="18" borderId="0" xfId="33" applyFont="1" applyFill="1" applyAlignment="1">
      <alignment vertical="center"/>
    </xf>
    <xf numFmtId="10" fontId="49" fillId="0" borderId="0" xfId="33" applyNumberFormat="1" applyFont="1"/>
    <xf numFmtId="4" fontId="2" fillId="16" borderId="0" xfId="30" applyNumberFormat="1" applyFill="1"/>
    <xf numFmtId="175" fontId="8" fillId="17" borderId="27" xfId="33" applyNumberFormat="1" applyFont="1" applyFill="1" applyBorder="1" applyProtection="1">
      <protection locked="0"/>
    </xf>
    <xf numFmtId="176" fontId="2" fillId="17" borderId="0" xfId="31" applyNumberFormat="1" applyFill="1" applyAlignment="1" applyProtection="1">
      <alignment horizontal="right" vertical="center"/>
      <protection locked="0"/>
    </xf>
    <xf numFmtId="168" fontId="2" fillId="0" borderId="28" xfId="31" applyNumberFormat="1" applyBorder="1" applyAlignment="1">
      <alignment vertical="center"/>
    </xf>
    <xf numFmtId="177" fontId="1" fillId="16" borderId="0" xfId="22" applyNumberFormat="1" applyFont="1" applyFill="1" applyAlignment="1" applyProtection="1">
      <alignment horizontal="right"/>
    </xf>
    <xf numFmtId="168" fontId="8" fillId="0" borderId="6" xfId="31" applyNumberFormat="1" applyFont="1" applyBorder="1" applyAlignment="1">
      <alignment vertical="center"/>
    </xf>
    <xf numFmtId="1" fontId="9" fillId="16" borderId="19" xfId="33" applyNumberFormat="1" applyFont="1" applyFill="1" applyBorder="1" applyAlignment="1">
      <alignment horizontal="left" vertical="center"/>
    </xf>
    <xf numFmtId="164" fontId="9" fillId="16" borderId="19" xfId="33" applyNumberFormat="1" applyFont="1" applyFill="1" applyBorder="1" applyAlignment="1">
      <alignment horizontal="left" vertical="center"/>
    </xf>
    <xf numFmtId="0" fontId="9" fillId="16" borderId="19" xfId="33" applyFont="1" applyFill="1" applyBorder="1" applyAlignment="1">
      <alignment vertical="center"/>
    </xf>
    <xf numFmtId="0" fontId="8" fillId="16" borderId="19" xfId="33" applyFont="1" applyFill="1" applyBorder="1" applyAlignment="1">
      <alignment vertical="center"/>
    </xf>
    <xf numFmtId="42" fontId="8" fillId="0" borderId="19" xfId="33" applyNumberFormat="1" applyFont="1" applyBorder="1" applyAlignment="1">
      <alignment vertical="center"/>
    </xf>
    <xf numFmtId="1" fontId="5" fillId="0" borderId="29" xfId="33" applyNumberFormat="1" applyFont="1" applyBorder="1" applyAlignment="1">
      <alignment horizontal="left"/>
    </xf>
    <xf numFmtId="164" fontId="5" fillId="0" borderId="29" xfId="33" applyNumberFormat="1" applyFont="1" applyBorder="1" applyAlignment="1">
      <alignment horizontal="left"/>
    </xf>
    <xf numFmtId="0" fontId="5" fillId="0" borderId="29" xfId="33" applyFont="1" applyBorder="1"/>
    <xf numFmtId="0" fontId="5" fillId="0" borderId="16" xfId="33" applyFont="1" applyBorder="1"/>
    <xf numFmtId="10" fontId="5" fillId="0" borderId="16" xfId="33" applyNumberFormat="1" applyFont="1" applyBorder="1" applyAlignment="1">
      <alignment horizontal="right" vertical="center"/>
    </xf>
    <xf numFmtId="10" fontId="5" fillId="0" borderId="17" xfId="33" applyNumberFormat="1" applyFont="1" applyBorder="1" applyAlignment="1">
      <alignment horizontal="right"/>
    </xf>
    <xf numFmtId="10" fontId="5" fillId="0" borderId="18" xfId="33" applyNumberFormat="1" applyFont="1" applyBorder="1" applyAlignment="1">
      <alignment horizontal="right"/>
    </xf>
    <xf numFmtId="3" fontId="5" fillId="17" borderId="19" xfId="33" applyNumberFormat="1" applyFont="1" applyFill="1" applyBorder="1" applyProtection="1">
      <protection locked="0"/>
    </xf>
    <xf numFmtId="10" fontId="5" fillId="0" borderId="0" xfId="33" applyNumberFormat="1" applyFont="1" applyAlignment="1">
      <alignment horizontal="right" vertical="center"/>
    </xf>
    <xf numFmtId="10" fontId="1" fillId="16" borderId="0" xfId="33" applyNumberFormat="1" applyFont="1" applyFill="1"/>
    <xf numFmtId="10" fontId="5" fillId="0" borderId="16" xfId="22" applyNumberFormat="1" applyFont="1" applyFill="1" applyBorder="1" applyAlignment="1" applyProtection="1">
      <alignment vertical="center"/>
    </xf>
    <xf numFmtId="10" fontId="5" fillId="0" borderId="23" xfId="22" applyNumberFormat="1" applyFont="1" applyFill="1" applyBorder="1" applyAlignment="1" applyProtection="1">
      <alignment vertical="center"/>
    </xf>
    <xf numFmtId="0" fontId="21" fillId="0" borderId="0" xfId="33" applyFont="1" applyAlignment="1">
      <alignment vertical="center"/>
    </xf>
    <xf numFmtId="171" fontId="5" fillId="0" borderId="29" xfId="33" applyNumberFormat="1" applyFont="1" applyBorder="1" applyAlignment="1">
      <alignment horizontal="right"/>
    </xf>
    <xf numFmtId="9" fontId="5" fillId="17" borderId="19" xfId="33" applyNumberFormat="1" applyFont="1" applyFill="1" applyBorder="1" applyAlignment="1" applyProtection="1">
      <alignment horizontal="right"/>
      <protection locked="0"/>
    </xf>
    <xf numFmtId="3" fontId="5" fillId="0" borderId="19" xfId="33" applyNumberFormat="1" applyFont="1" applyBorder="1"/>
    <xf numFmtId="9" fontId="1" fillId="16" borderId="0" xfId="33" applyNumberFormat="1" applyFont="1" applyFill="1" applyAlignment="1">
      <alignment vertical="center"/>
    </xf>
    <xf numFmtId="10" fontId="5" fillId="0" borderId="0" xfId="33" applyNumberFormat="1" applyFont="1" applyAlignment="1">
      <alignment horizontal="center"/>
    </xf>
    <xf numFmtId="168" fontId="2" fillId="0" borderId="0" xfId="31" applyNumberFormat="1" applyAlignment="1">
      <alignment vertical="center"/>
    </xf>
    <xf numFmtId="42" fontId="1" fillId="16" borderId="4" xfId="31" applyNumberFormat="1" applyFont="1" applyFill="1" applyBorder="1" applyAlignment="1">
      <alignment vertical="center"/>
    </xf>
    <xf numFmtId="168" fontId="9" fillId="0" borderId="0" xfId="31" applyNumberFormat="1" applyFont="1" applyAlignment="1">
      <alignment vertical="center"/>
    </xf>
    <xf numFmtId="42" fontId="8" fillId="16" borderId="2" xfId="30" applyNumberFormat="1" applyFont="1" applyFill="1" applyBorder="1" applyAlignment="1">
      <alignment vertical="center"/>
    </xf>
    <xf numFmtId="168" fontId="2" fillId="0" borderId="30" xfId="31" applyNumberFormat="1" applyBorder="1" applyAlignment="1">
      <alignment vertical="center"/>
    </xf>
    <xf numFmtId="0" fontId="2" fillId="0" borderId="0" xfId="31" applyAlignment="1">
      <alignment horizontal="left" vertical="center"/>
    </xf>
    <xf numFmtId="10" fontId="2" fillId="0" borderId="6" xfId="31" applyNumberFormat="1" applyBorder="1" applyAlignment="1">
      <alignment horizontal="right" vertical="center"/>
    </xf>
    <xf numFmtId="9" fontId="5" fillId="0" borderId="0" xfId="33" applyNumberFormat="1" applyFont="1"/>
    <xf numFmtId="9" fontId="2" fillId="16" borderId="0" xfId="30" applyNumberFormat="1" applyFill="1"/>
    <xf numFmtId="177" fontId="20" fillId="0" borderId="0" xfId="22" applyNumberFormat="1" applyFont="1" applyProtection="1"/>
    <xf numFmtId="168" fontId="2" fillId="0" borderId="31" xfId="31" applyNumberFormat="1" applyBorder="1" applyAlignment="1">
      <alignment vertical="center"/>
    </xf>
    <xf numFmtId="10" fontId="50" fillId="0" borderId="0" xfId="22" applyNumberFormat="1" applyFont="1" applyAlignment="1">
      <alignment horizontal="right" vertical="center"/>
    </xf>
    <xf numFmtId="10" fontId="50" fillId="0" borderId="2" xfId="22" applyNumberFormat="1" applyFont="1" applyBorder="1" applyAlignment="1">
      <alignment horizontal="right" vertical="center"/>
    </xf>
    <xf numFmtId="1" fontId="3" fillId="0" borderId="0" xfId="12" applyNumberFormat="1" applyFont="1" applyAlignment="1">
      <alignment horizontal="center" vertical="center"/>
    </xf>
    <xf numFmtId="1" fontId="51" fillId="0" borderId="0" xfId="12" applyNumberFormat="1" applyFont="1" applyAlignment="1">
      <alignment horizontal="right" vertical="center"/>
    </xf>
    <xf numFmtId="10" fontId="5" fillId="19" borderId="34" xfId="33" applyNumberFormat="1" applyFont="1" applyFill="1" applyBorder="1" applyAlignment="1">
      <alignment horizontal="right"/>
    </xf>
    <xf numFmtId="168" fontId="9" fillId="19" borderId="34" xfId="31" applyNumberFormat="1" applyFont="1" applyFill="1" applyBorder="1" applyAlignment="1">
      <alignment vertical="center"/>
    </xf>
    <xf numFmtId="10" fontId="5" fillId="19" borderId="35" xfId="33" applyNumberFormat="1" applyFont="1" applyFill="1" applyBorder="1" applyAlignment="1">
      <alignment horizontal="right"/>
    </xf>
    <xf numFmtId="168" fontId="9" fillId="19" borderId="35" xfId="31" applyNumberFormat="1" applyFont="1" applyFill="1" applyBorder="1" applyAlignment="1">
      <alignment vertical="center"/>
    </xf>
    <xf numFmtId="10" fontId="5" fillId="19" borderId="36" xfId="33" applyNumberFormat="1" applyFont="1" applyFill="1" applyBorder="1" applyAlignment="1">
      <alignment horizontal="right"/>
    </xf>
    <xf numFmtId="168" fontId="9" fillId="19" borderId="36" xfId="31" applyNumberFormat="1" applyFont="1" applyFill="1" applyBorder="1" applyAlignment="1">
      <alignment vertical="center"/>
    </xf>
    <xf numFmtId="10" fontId="2" fillId="0" borderId="6" xfId="31" applyNumberFormat="1" applyBorder="1" applyAlignment="1">
      <alignment horizontal="right"/>
    </xf>
    <xf numFmtId="168" fontId="8" fillId="0" borderId="0" xfId="31" applyNumberFormat="1" applyFont="1"/>
    <xf numFmtId="10" fontId="2" fillId="17" borderId="0" xfId="31" applyNumberFormat="1" applyFill="1" applyAlignment="1" applyProtection="1">
      <alignment horizontal="right" vertical="center"/>
      <protection locked="0"/>
    </xf>
    <xf numFmtId="10" fontId="2" fillId="17" borderId="33" xfId="31" applyNumberFormat="1" applyFill="1" applyBorder="1" applyAlignment="1" applyProtection="1">
      <alignment horizontal="right" vertical="center"/>
      <protection locked="0"/>
    </xf>
    <xf numFmtId="168" fontId="2" fillId="0" borderId="2" xfId="31" applyNumberFormat="1" applyBorder="1" applyAlignment="1">
      <alignment vertical="center"/>
    </xf>
    <xf numFmtId="0" fontId="2" fillId="0" borderId="0" xfId="31" applyAlignment="1">
      <alignment horizontal="left" vertical="top"/>
    </xf>
    <xf numFmtId="0" fontId="2" fillId="0" borderId="0" xfId="30" applyAlignment="1">
      <alignment vertical="top"/>
    </xf>
    <xf numFmtId="10" fontId="2" fillId="0" borderId="6" xfId="31" applyNumberFormat="1" applyBorder="1" applyAlignment="1">
      <alignment horizontal="right" vertical="top"/>
    </xf>
    <xf numFmtId="168" fontId="8" fillId="0" borderId="0" xfId="31" applyNumberFormat="1" applyFont="1" applyAlignment="1">
      <alignment vertical="top"/>
    </xf>
    <xf numFmtId="10" fontId="5" fillId="0" borderId="0" xfId="33" applyNumberFormat="1" applyFont="1" applyAlignment="1">
      <alignment horizontal="right" vertical="top"/>
    </xf>
    <xf numFmtId="0" fontId="0" fillId="0" borderId="0" xfId="0" applyAlignment="1">
      <alignment vertical="top"/>
    </xf>
    <xf numFmtId="168" fontId="8" fillId="0" borderId="0" xfId="31" applyNumberFormat="1" applyFont="1" applyAlignment="1">
      <alignment vertical="center"/>
    </xf>
    <xf numFmtId="168" fontId="8" fillId="0" borderId="28" xfId="31" applyNumberFormat="1" applyFont="1" applyBorder="1" applyAlignment="1">
      <alignment vertical="center"/>
    </xf>
    <xf numFmtId="10" fontId="50" fillId="0" borderId="0" xfId="31" applyNumberFormat="1" applyFont="1" applyAlignment="1">
      <alignment horizontal="right" vertical="center"/>
    </xf>
    <xf numFmtId="10" fontId="50" fillId="0" borderId="0" xfId="31" applyNumberFormat="1" applyFont="1" applyAlignment="1">
      <alignment horizontal="right" vertical="top"/>
    </xf>
    <xf numFmtId="10" fontId="50" fillId="0" borderId="6" xfId="31" applyNumberFormat="1" applyFont="1" applyBorder="1" applyAlignment="1">
      <alignment horizontal="right"/>
    </xf>
    <xf numFmtId="10" fontId="50" fillId="0" borderId="6" xfId="31" applyNumberFormat="1" applyFont="1" applyBorder="1" applyAlignment="1">
      <alignment horizontal="right" vertical="top"/>
    </xf>
    <xf numFmtId="1" fontId="5" fillId="0" borderId="32" xfId="33" applyNumberFormat="1" applyFont="1" applyBorder="1" applyAlignment="1">
      <alignment horizontal="left"/>
    </xf>
    <xf numFmtId="1" fontId="9" fillId="16" borderId="0" xfId="33" applyNumberFormat="1" applyFont="1" applyFill="1" applyAlignment="1">
      <alignment horizontal="left" vertical="center"/>
    </xf>
    <xf numFmtId="0" fontId="5" fillId="0" borderId="32" xfId="33" applyFont="1" applyBorder="1" applyAlignment="1">
      <alignment horizontal="left"/>
    </xf>
    <xf numFmtId="1" fontId="5" fillId="0" borderId="16" xfId="33" applyNumberFormat="1" applyFont="1" applyBorder="1" applyAlignment="1">
      <alignment horizontal="left"/>
    </xf>
    <xf numFmtId="1" fontId="5" fillId="0" borderId="16" xfId="33" applyNumberFormat="1" applyFont="1" applyBorder="1"/>
    <xf numFmtId="1" fontId="5" fillId="0" borderId="32" xfId="33" applyNumberFormat="1" applyFont="1" applyBorder="1"/>
    <xf numFmtId="0" fontId="0" fillId="0" borderId="2" xfId="0" applyBorder="1"/>
    <xf numFmtId="0" fontId="5" fillId="0" borderId="0" xfId="33" applyFont="1" applyAlignment="1">
      <alignment vertical="center"/>
    </xf>
    <xf numFmtId="177" fontId="1" fillId="16" borderId="0" xfId="22" applyNumberFormat="1" applyFont="1" applyFill="1" applyAlignment="1" applyProtection="1">
      <alignment horizontal="right" vertical="center"/>
    </xf>
    <xf numFmtId="10" fontId="49" fillId="0" borderId="0" xfId="33" applyNumberFormat="1" applyFont="1" applyAlignment="1">
      <alignment vertical="center"/>
    </xf>
    <xf numFmtId="0" fontId="3" fillId="0" borderId="0" xfId="33" applyFont="1"/>
    <xf numFmtId="10" fontId="3" fillId="0" borderId="0" xfId="33" applyNumberFormat="1" applyFont="1" applyAlignment="1">
      <alignment horizontal="right"/>
    </xf>
    <xf numFmtId="3" fontId="3" fillId="0" borderId="0" xfId="33" applyNumberFormat="1" applyFont="1" applyAlignment="1">
      <alignment horizontal="right"/>
    </xf>
    <xf numFmtId="10" fontId="55" fillId="0" borderId="0" xfId="22" applyNumberFormat="1" applyFont="1" applyFill="1" applyAlignment="1" applyProtection="1">
      <alignment vertical="top" wrapText="1"/>
    </xf>
    <xf numFmtId="3" fontId="15" fillId="0" borderId="0" xfId="33" applyNumberFormat="1" applyFont="1" applyAlignment="1">
      <alignment horizontal="right"/>
    </xf>
    <xf numFmtId="0" fontId="3" fillId="0" borderId="0" xfId="12" applyFont="1" applyFill="1" applyBorder="1" applyAlignment="1" applyProtection="1">
      <alignment horizontal="center" vertical="center"/>
    </xf>
    <xf numFmtId="3" fontId="5" fillId="0" borderId="0" xfId="33" applyNumberFormat="1" applyFont="1" applyAlignment="1">
      <alignment horizontal="left"/>
    </xf>
    <xf numFmtId="3" fontId="5" fillId="0" borderId="0" xfId="33" applyNumberFormat="1" applyFont="1" applyAlignment="1">
      <alignment horizontal="left" vertical="center"/>
    </xf>
    <xf numFmtId="0" fontId="5" fillId="0" borderId="0" xfId="33" applyFont="1" applyAlignment="1">
      <alignment horizontal="left" vertical="center"/>
    </xf>
    <xf numFmtId="3" fontId="5" fillId="0" borderId="0" xfId="33" applyNumberFormat="1" applyFont="1" applyAlignment="1">
      <alignment horizontal="right" vertical="center"/>
    </xf>
    <xf numFmtId="10" fontId="52" fillId="0" borderId="0" xfId="33" applyNumberFormat="1" applyFont="1" applyAlignment="1">
      <alignment wrapText="1"/>
    </xf>
    <xf numFmtId="173" fontId="2" fillId="17" borderId="20" xfId="30" applyNumberFormat="1" applyFill="1" applyBorder="1" applyAlignment="1" applyProtection="1">
      <alignment vertical="center"/>
      <protection locked="0"/>
    </xf>
    <xf numFmtId="43" fontId="2" fillId="16" borderId="2" xfId="42" applyFont="1" applyFill="1" applyBorder="1" applyAlignment="1" applyProtection="1">
      <alignment horizontal="right"/>
    </xf>
    <xf numFmtId="173" fontId="8" fillId="17" borderId="33" xfId="33" applyNumberFormat="1" applyFont="1" applyFill="1" applyBorder="1" applyAlignment="1" applyProtection="1">
      <alignment horizontal="right"/>
      <protection locked="0"/>
    </xf>
    <xf numFmtId="178" fontId="8" fillId="17" borderId="16" xfId="33" applyNumberFormat="1" applyFont="1" applyFill="1" applyBorder="1" applyAlignment="1" applyProtection="1">
      <alignment horizontal="right"/>
      <protection locked="0"/>
    </xf>
    <xf numFmtId="42" fontId="8" fillId="16" borderId="0" xfId="33" applyNumberFormat="1" applyFont="1" applyFill="1" applyAlignment="1">
      <alignment horizontal="right" vertical="center"/>
    </xf>
    <xf numFmtId="177" fontId="20" fillId="0" borderId="0" xfId="22" applyNumberFormat="1" applyFont="1" applyAlignment="1" applyProtection="1">
      <alignment horizontal="right"/>
    </xf>
    <xf numFmtId="0" fontId="2" fillId="0" borderId="6" xfId="31" applyBorder="1" applyAlignment="1">
      <alignment horizontal="left" vertical="center" wrapText="1"/>
    </xf>
    <xf numFmtId="10" fontId="16" fillId="0" borderId="0" xfId="33" applyNumberFormat="1" applyFont="1" applyAlignment="1">
      <alignment horizontal="right" wrapText="1"/>
    </xf>
    <xf numFmtId="1" fontId="9" fillId="16" borderId="0" xfId="33" applyNumberFormat="1" applyFont="1" applyFill="1" applyAlignment="1">
      <alignment horizontal="left" vertical="center"/>
    </xf>
    <xf numFmtId="10" fontId="5" fillId="0" borderId="0" xfId="33" applyNumberFormat="1" applyFont="1" applyAlignment="1">
      <alignment horizontal="left" vertical="top" wrapText="1"/>
    </xf>
    <xf numFmtId="10" fontId="40" fillId="0" borderId="0" xfId="33" applyNumberFormat="1" applyFont="1" applyAlignment="1">
      <alignment horizontal="center"/>
    </xf>
    <xf numFmtId="10" fontId="53" fillId="0" borderId="0" xfId="33" applyNumberFormat="1" applyFont="1" applyAlignment="1">
      <alignment horizontal="right" wrapText="1"/>
    </xf>
    <xf numFmtId="10" fontId="55" fillId="0" borderId="0" xfId="22" applyNumberFormat="1" applyFont="1" applyFill="1" applyAlignment="1" applyProtection="1">
      <alignment horizontal="left" vertical="center" wrapText="1"/>
    </xf>
    <xf numFmtId="10" fontId="54" fillId="0" borderId="0" xfId="0" applyNumberFormat="1" applyFont="1" applyAlignment="1">
      <alignment horizontal="center"/>
    </xf>
    <xf numFmtId="0" fontId="2" fillId="17" borderId="0" xfId="30" applyFill="1" applyAlignment="1" applyProtection="1">
      <alignment vertical="center" wrapText="1"/>
      <protection locked="0"/>
    </xf>
    <xf numFmtId="0" fontId="5" fillId="0" borderId="3" xfId="33" applyFont="1" applyBorder="1" applyAlignment="1">
      <alignment horizontal="left" vertical="center"/>
    </xf>
    <xf numFmtId="0" fontId="5" fillId="0" borderId="3" xfId="33" applyFont="1" applyBorder="1" applyAlignment="1">
      <alignment vertical="center"/>
    </xf>
    <xf numFmtId="0" fontId="3" fillId="0" borderId="0" xfId="12" applyFont="1" applyFill="1" applyBorder="1" applyAlignment="1">
      <alignment horizontal="center" vertical="center"/>
    </xf>
    <xf numFmtId="0" fontId="3" fillId="0" borderId="0" xfId="31" applyFont="1" applyAlignment="1">
      <alignment vertical="center"/>
    </xf>
    <xf numFmtId="0" fontId="56" fillId="0" borderId="0" xfId="31" applyFont="1" applyAlignment="1">
      <alignment vertical="center"/>
    </xf>
    <xf numFmtId="0" fontId="3" fillId="0" borderId="2" xfId="31" applyFont="1" applyBorder="1" applyAlignment="1">
      <alignment vertical="center"/>
    </xf>
    <xf numFmtId="0" fontId="56" fillId="0" borderId="2" xfId="31" applyFont="1" applyBorder="1" applyAlignment="1">
      <alignment vertical="center"/>
    </xf>
    <xf numFmtId="0" fontId="57" fillId="0" borderId="0" xfId="33" applyFont="1"/>
    <xf numFmtId="0" fontId="58" fillId="0" borderId="0" xfId="33" applyFont="1" applyAlignment="1">
      <alignment horizontal="left"/>
    </xf>
    <xf numFmtId="0" fontId="57" fillId="0" borderId="0" xfId="33" applyFont="1" applyAlignment="1">
      <alignment vertical="top"/>
    </xf>
    <xf numFmtId="0" fontId="47" fillId="0" borderId="0" xfId="30" applyFont="1"/>
  </cellXfs>
  <cellStyles count="43">
    <cellStyle name="Akzent1" xfId="1" builtinId="29" customBuiltin="1"/>
    <cellStyle name="Akzent2" xfId="2" builtinId="33" customBuiltin="1"/>
    <cellStyle name="Akzent3" xfId="3" builtinId="37" customBuiltin="1"/>
    <cellStyle name="Akzent4" xfId="4" builtinId="41" customBuiltin="1"/>
    <cellStyle name="Akzent5" xfId="5" builtinId="45" customBuiltin="1"/>
    <cellStyle name="Akzent6" xfId="6" builtinId="49" customBuiltin="1"/>
    <cellStyle name="Ausgabe" xfId="7" builtinId="21" customBuiltin="1"/>
    <cellStyle name="Berechnung" xfId="8" builtinId="22" customBuiltin="1"/>
    <cellStyle name="Dezimal 2" xfId="9" xr:uid="{00000000-0005-0000-0000-000008000000}"/>
    <cellStyle name="Dezimal 2 2" xfId="10" xr:uid="{00000000-0005-0000-0000-000009000000}"/>
    <cellStyle name="Dezimal 2 2 2" xfId="11" xr:uid="{00000000-0005-0000-0000-00000A000000}"/>
    <cellStyle name="Dezimal_T00003 2" xfId="12" xr:uid="{00000000-0005-0000-0000-00000B000000}"/>
    <cellStyle name="Eingabe" xfId="13" builtinId="20" customBuiltin="1"/>
    <cellStyle name="Ergebnis" xfId="14" builtinId="25" customBuiltin="1"/>
    <cellStyle name="Erklärender Text" xfId="15" builtinId="53" customBuiltin="1"/>
    <cellStyle name="Euro" xfId="16" xr:uid="{00000000-0005-0000-0000-00000F000000}"/>
    <cellStyle name="graue hinterlegung" xfId="17" xr:uid="{00000000-0005-0000-0000-000010000000}"/>
    <cellStyle name="Gut" xfId="18" builtinId="26" customBuiltin="1"/>
    <cellStyle name="Komma" xfId="42" builtinId="3"/>
    <cellStyle name="Komma 2" xfId="19" xr:uid="{00000000-0005-0000-0000-000012000000}"/>
    <cellStyle name="Neutral" xfId="20" builtinId="28" customBuiltin="1"/>
    <cellStyle name="Notiz" xfId="21" builtinId="10" customBuiltin="1"/>
    <cellStyle name="Prozent" xfId="22" builtinId="5"/>
    <cellStyle name="Prozent 2" xfId="23" xr:uid="{00000000-0005-0000-0000-000016000000}"/>
    <cellStyle name="Prozent 3" xfId="24" xr:uid="{00000000-0005-0000-0000-000017000000}"/>
    <cellStyle name="Schlecht" xfId="25" builtinId="27" customBuiltin="1"/>
    <cellStyle name="Standard" xfId="0" builtinId="0"/>
    <cellStyle name="Standard 2" xfId="26" xr:uid="{00000000-0005-0000-0000-00001A000000}"/>
    <cellStyle name="Standard 2 2" xfId="27" xr:uid="{00000000-0005-0000-0000-00001B000000}"/>
    <cellStyle name="Standard 3" xfId="28" xr:uid="{00000000-0005-0000-0000-00001C000000}"/>
    <cellStyle name="Standard 3 2" xfId="29" xr:uid="{00000000-0005-0000-0000-00001D000000}"/>
    <cellStyle name="Standard 3 3" xfId="30" xr:uid="{00000000-0005-0000-0000-00001E000000}"/>
    <cellStyle name="Standard 4" xfId="31" xr:uid="{00000000-0005-0000-0000-00001F000000}"/>
    <cellStyle name="Standard 5" xfId="32" xr:uid="{00000000-0005-0000-0000-000020000000}"/>
    <cellStyle name="Standard_K.Schätzung 2" xfId="33" xr:uid="{00000000-0005-0000-0000-000021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0"/>
  <tableStyles count="0" defaultTableStyle="TableStyleMedium9" defaultPivotStyle="PivotStyleLight16"/>
  <colors>
    <mruColors>
      <color rgb="FFDAEFC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Scroll" dx="22" fmlaLink="$E$43" horiz="1" max="42" min="6" page="5" val="22"/>
</file>

<file path=xl/ctrlProps/ctrlProp10.xml><?xml version="1.0" encoding="utf-8"?>
<formControlPr xmlns="http://schemas.microsoft.com/office/spreadsheetml/2009/9/main" objectType="Scroll" dx="48" fmlaLink="$E$46" horiz="1" max="5" min="1" noThreeD="1" page="10"/>
</file>

<file path=xl/ctrlProps/ctrlProp11.xml><?xml version="1.0" encoding="utf-8"?>
<formControlPr xmlns="http://schemas.microsoft.com/office/spreadsheetml/2009/9/main" objectType="Scroll" dx="22" fmlaLink="$E$47" horiz="1" max="5" noThreeD="1" page="10" val="0"/>
</file>

<file path=xl/ctrlProps/ctrlProp12.xml><?xml version="1.0" encoding="utf-8"?>
<formControlPr xmlns="http://schemas.microsoft.com/office/spreadsheetml/2009/9/main" objectType="Scroll" dx="22" fmlaLink="$E$48" horiz="1" max="3" noThreeD="1" page="10" val="0"/>
</file>

<file path=xl/ctrlProps/ctrlProp13.xml><?xml version="1.0" encoding="utf-8"?>
<formControlPr xmlns="http://schemas.microsoft.com/office/spreadsheetml/2009/9/main" objectType="Scroll" dx="22" fmlaLink="$E$43" horiz="1" max="42" min="6" noThreeD="1" page="10" val="22"/>
</file>

<file path=xl/ctrlProps/ctrlProp14.xml><?xml version="1.0" encoding="utf-8"?>
<formControlPr xmlns="http://schemas.microsoft.com/office/spreadsheetml/2009/9/main" objectType="Scroll" dx="22" fmlaLink="$E$44" horiz="1" max="5" min="1" noThreeD="1" page="10" val="2"/>
</file>

<file path=xl/ctrlProps/ctrlProp15.xml><?xml version="1.0" encoding="utf-8"?>
<formControlPr xmlns="http://schemas.microsoft.com/office/spreadsheetml/2009/9/main" objectType="Scroll" dx="22" fmlaLink="$E$45" horiz="1" max="5" min="1" noThreeD="1" page="10"/>
</file>

<file path=xl/ctrlProps/ctrlProp16.xml><?xml version="1.0" encoding="utf-8"?>
<formControlPr xmlns="http://schemas.microsoft.com/office/spreadsheetml/2009/9/main" objectType="Scroll" dx="48" fmlaLink="$E$46" horiz="1" max="5" min="1" noThreeD="1" page="10"/>
</file>

<file path=xl/ctrlProps/ctrlProp17.xml><?xml version="1.0" encoding="utf-8"?>
<formControlPr xmlns="http://schemas.microsoft.com/office/spreadsheetml/2009/9/main" objectType="Scroll" dx="22" fmlaLink="$E$47" horiz="1" max="5" noThreeD="1" page="10" val="0"/>
</file>

<file path=xl/ctrlProps/ctrlProp18.xml><?xml version="1.0" encoding="utf-8"?>
<formControlPr xmlns="http://schemas.microsoft.com/office/spreadsheetml/2009/9/main" objectType="Scroll" dx="22" fmlaLink="$E$48" horiz="1" max="3" noThreeD="1" page="10" val="0"/>
</file>

<file path=xl/ctrlProps/ctrlProp19.xml><?xml version="1.0" encoding="utf-8"?>
<formControlPr xmlns="http://schemas.microsoft.com/office/spreadsheetml/2009/9/main" objectType="Scroll" dx="22" fmlaLink="$E$45" horiz="1" max="42" min="6" noThreeD="1" page="10" val="23"/>
</file>

<file path=xl/ctrlProps/ctrlProp2.xml><?xml version="1.0" encoding="utf-8"?>
<formControlPr xmlns="http://schemas.microsoft.com/office/spreadsheetml/2009/9/main" objectType="Scroll" dx="22" fmlaLink="$E$44" horiz="1" max="5" min="1" page="10" val="2"/>
</file>

<file path=xl/ctrlProps/ctrlProp20.xml><?xml version="1.0" encoding="utf-8"?>
<formControlPr xmlns="http://schemas.microsoft.com/office/spreadsheetml/2009/9/main" objectType="Scroll" dx="22" fmlaLink="$E$46" horiz="1" max="5" min="1" noThreeD="1" page="10" val="2"/>
</file>

<file path=xl/ctrlProps/ctrlProp21.xml><?xml version="1.0" encoding="utf-8"?>
<formControlPr xmlns="http://schemas.microsoft.com/office/spreadsheetml/2009/9/main" objectType="Scroll" dx="22" fmlaLink="$E$47" horiz="1" max="5" min="1" noThreeD="1" page="10"/>
</file>

<file path=xl/ctrlProps/ctrlProp22.xml><?xml version="1.0" encoding="utf-8"?>
<formControlPr xmlns="http://schemas.microsoft.com/office/spreadsheetml/2009/9/main" objectType="Scroll" dx="48" fmlaLink="$E$48" horiz="1" max="5" min="1" noThreeD="1" page="10"/>
</file>

<file path=xl/ctrlProps/ctrlProp23.xml><?xml version="1.0" encoding="utf-8"?>
<formControlPr xmlns="http://schemas.microsoft.com/office/spreadsheetml/2009/9/main" objectType="Scroll" dx="22" fmlaLink="$E$47" horiz="1" max="5" noThreeD="1" page="10"/>
</file>

<file path=xl/ctrlProps/ctrlProp24.xml><?xml version="1.0" encoding="utf-8"?>
<formControlPr xmlns="http://schemas.microsoft.com/office/spreadsheetml/2009/9/main" objectType="Scroll" dx="22" fmlaLink="$E$48" horiz="1" max="3" noThreeD="1" page="10"/>
</file>

<file path=xl/ctrlProps/ctrlProp3.xml><?xml version="1.0" encoding="utf-8"?>
<formControlPr xmlns="http://schemas.microsoft.com/office/spreadsheetml/2009/9/main" objectType="Scroll" dx="22" fmlaLink="$E$45" horiz="1" max="5" min="1" noThreeD="1" page="10"/>
</file>

<file path=xl/ctrlProps/ctrlProp4.xml><?xml version="1.0" encoding="utf-8"?>
<formControlPr xmlns="http://schemas.microsoft.com/office/spreadsheetml/2009/9/main" objectType="Scroll" dx="22" fmlaLink="$E$46" horiz="1" max="5" min="1" noThreeD="1" page="5"/>
</file>

<file path=xl/ctrlProps/ctrlProp5.xml><?xml version="1.0" encoding="utf-8"?>
<formControlPr xmlns="http://schemas.microsoft.com/office/spreadsheetml/2009/9/main" objectType="Scroll" dx="22" fmlaLink="$E$47" horiz="1" max="5" noThreeD="1" page="10" val="0"/>
</file>

<file path=xl/ctrlProps/ctrlProp6.xml><?xml version="1.0" encoding="utf-8"?>
<formControlPr xmlns="http://schemas.microsoft.com/office/spreadsheetml/2009/9/main" objectType="Scroll" dx="22" fmlaLink="$E$48" horiz="1" max="3" noThreeD="1" page="10" val="0"/>
</file>

<file path=xl/ctrlProps/ctrlProp7.xml><?xml version="1.0" encoding="utf-8"?>
<formControlPr xmlns="http://schemas.microsoft.com/office/spreadsheetml/2009/9/main" objectType="Scroll" dx="22" fmlaLink="$E$43" horiz="1" max="42" min="6" noThreeD="1" page="10" val="22"/>
</file>

<file path=xl/ctrlProps/ctrlProp8.xml><?xml version="1.0" encoding="utf-8"?>
<formControlPr xmlns="http://schemas.microsoft.com/office/spreadsheetml/2009/9/main" objectType="Scroll" dx="22" fmlaLink="$E$44" horiz="1" max="5" min="1" noThreeD="1" page="10" val="2"/>
</file>

<file path=xl/ctrlProps/ctrlProp9.xml><?xml version="1.0" encoding="utf-8"?>
<formControlPr xmlns="http://schemas.microsoft.com/office/spreadsheetml/2009/9/main" objectType="Scroll" dx="22" fmlaLink="$E$45" horiz="1" max="5" min="1" noThreeD="1" page="10"/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76200</xdr:colOff>
      <xdr:row>36</xdr:row>
      <xdr:rowOff>142875</xdr:rowOff>
    </xdr:from>
    <xdr:to>
      <xdr:col>8</xdr:col>
      <xdr:colOff>674649</xdr:colOff>
      <xdr:row>54</xdr:row>
      <xdr:rowOff>93345</xdr:rowOff>
    </xdr:to>
    <xdr:grpSp>
      <xdr:nvGrpSpPr>
        <xdr:cNvPr id="16" name="Gruppieren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GrpSpPr/>
      </xdr:nvGrpSpPr>
      <xdr:grpSpPr>
        <a:xfrm>
          <a:off x="4505325" y="5038725"/>
          <a:ext cx="3179724" cy="2455545"/>
          <a:chOff x="5232477" y="5653854"/>
          <a:chExt cx="2044344" cy="2430966"/>
        </a:xfrm>
      </xdr:grpSpPr>
      <xdr:cxnSp macro="">
        <xdr:nvCxnSpPr>
          <xdr:cNvPr id="3" name="Gerade Verbindung 2">
            <a:extLst>
              <a:ext uri="{FF2B5EF4-FFF2-40B4-BE49-F238E27FC236}">
                <a16:creationId xmlns:a16="http://schemas.microsoft.com/office/drawing/2014/main" id="{00000000-0008-0000-0100-000003000000}"/>
              </a:ext>
            </a:extLst>
          </xdr:cNvPr>
          <xdr:cNvCxnSpPr/>
        </xdr:nvCxnSpPr>
        <xdr:spPr bwMode="auto">
          <a:xfrm>
            <a:off x="7270332" y="5663379"/>
            <a:ext cx="0" cy="124522"/>
          </a:xfrm>
          <a:prstGeom prst="line">
            <a:avLst/>
          </a:prstGeom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" name="Gerade Verbindung 3">
            <a:extLst>
              <a:ext uri="{FF2B5EF4-FFF2-40B4-BE49-F238E27FC236}">
                <a16:creationId xmlns:a16="http://schemas.microsoft.com/office/drawing/2014/main" id="{00000000-0008-0000-0100-000004000000}"/>
              </a:ext>
            </a:extLst>
          </xdr:cNvPr>
          <xdr:cNvCxnSpPr/>
        </xdr:nvCxnSpPr>
        <xdr:spPr bwMode="auto">
          <a:xfrm flipH="1">
            <a:off x="6051093" y="5787901"/>
            <a:ext cx="1227633" cy="0"/>
          </a:xfrm>
          <a:prstGeom prst="line">
            <a:avLst/>
          </a:prstGeom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" name="Gerade Verbindung 4">
            <a:extLst>
              <a:ext uri="{FF2B5EF4-FFF2-40B4-BE49-F238E27FC236}">
                <a16:creationId xmlns:a16="http://schemas.microsoft.com/office/drawing/2014/main" id="{00000000-0008-0000-0100-000005000000}"/>
              </a:ext>
            </a:extLst>
          </xdr:cNvPr>
          <xdr:cNvCxnSpPr/>
        </xdr:nvCxnSpPr>
        <xdr:spPr bwMode="auto">
          <a:xfrm>
            <a:off x="6051093" y="5787901"/>
            <a:ext cx="0" cy="2298824"/>
          </a:xfrm>
          <a:prstGeom prst="line">
            <a:avLst/>
          </a:prstGeom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6" name="Gerade Verbindung mit Pfeil 5">
            <a:extLst>
              <a:ext uri="{FF2B5EF4-FFF2-40B4-BE49-F238E27FC236}">
                <a16:creationId xmlns:a16="http://schemas.microsoft.com/office/drawing/2014/main" id="{00000000-0008-0000-0100-000006000000}"/>
              </a:ext>
            </a:extLst>
          </xdr:cNvPr>
          <xdr:cNvCxnSpPr/>
        </xdr:nvCxnSpPr>
        <xdr:spPr bwMode="auto">
          <a:xfrm flipH="1">
            <a:off x="5222488" y="8084820"/>
            <a:ext cx="828605" cy="0"/>
          </a:xfrm>
          <a:prstGeom prst="straightConnector1">
            <a:avLst/>
          </a:prstGeom>
          <a:ln>
            <a:solidFill>
              <a:schemeClr val="tx1">
                <a:lumMod val="50000"/>
                <a:lumOff val="50000"/>
              </a:schemeClr>
            </a:solidFill>
            <a:tailEnd type="arrow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42</xdr:row>
          <xdr:rowOff>19050</xdr:rowOff>
        </xdr:from>
        <xdr:to>
          <xdr:col>8</xdr:col>
          <xdr:colOff>1028700</xdr:colOff>
          <xdr:row>42</xdr:row>
          <xdr:rowOff>123825</xdr:rowOff>
        </xdr:to>
        <xdr:sp macro="" textlink="">
          <xdr:nvSpPr>
            <xdr:cNvPr id="1025" name="Scroll Bar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43</xdr:row>
          <xdr:rowOff>19050</xdr:rowOff>
        </xdr:from>
        <xdr:to>
          <xdr:col>8</xdr:col>
          <xdr:colOff>1028700</xdr:colOff>
          <xdr:row>43</xdr:row>
          <xdr:rowOff>123825</xdr:rowOff>
        </xdr:to>
        <xdr:sp macro="" textlink="">
          <xdr:nvSpPr>
            <xdr:cNvPr id="1026" name="Scroll Bar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44</xdr:row>
          <xdr:rowOff>28575</xdr:rowOff>
        </xdr:from>
        <xdr:to>
          <xdr:col>8</xdr:col>
          <xdr:colOff>1028700</xdr:colOff>
          <xdr:row>44</xdr:row>
          <xdr:rowOff>133350</xdr:rowOff>
        </xdr:to>
        <xdr:sp macro="" textlink="">
          <xdr:nvSpPr>
            <xdr:cNvPr id="1027" name="Scroll Bar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45</xdr:row>
          <xdr:rowOff>28575</xdr:rowOff>
        </xdr:from>
        <xdr:to>
          <xdr:col>8</xdr:col>
          <xdr:colOff>1028700</xdr:colOff>
          <xdr:row>45</xdr:row>
          <xdr:rowOff>133350</xdr:rowOff>
        </xdr:to>
        <xdr:sp macro="" textlink="">
          <xdr:nvSpPr>
            <xdr:cNvPr id="1028" name="Scroll Bar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47</xdr:row>
          <xdr:rowOff>28575</xdr:rowOff>
        </xdr:from>
        <xdr:to>
          <xdr:col>8</xdr:col>
          <xdr:colOff>1027500</xdr:colOff>
          <xdr:row>47</xdr:row>
          <xdr:rowOff>132975</xdr:rowOff>
        </xdr:to>
        <xdr:sp macro="" textlink="">
          <xdr:nvSpPr>
            <xdr:cNvPr id="1029" name="Scroll Bar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1152D5F6-D25C-483F-953C-A7A77E20251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28574</xdr:colOff>
          <xdr:row>48</xdr:row>
          <xdr:rowOff>28575</xdr:rowOff>
        </xdr:from>
        <xdr:to>
          <xdr:col>8</xdr:col>
          <xdr:colOff>1027499</xdr:colOff>
          <xdr:row>48</xdr:row>
          <xdr:rowOff>132975</xdr:rowOff>
        </xdr:to>
        <xdr:sp macro="" textlink="">
          <xdr:nvSpPr>
            <xdr:cNvPr id="1030" name="Scroll Bar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6867F18-B2E1-4AC9-BE79-83099E59D06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 fLocksWithSheet="0"/>
      </xdr:twoCellAnchor>
    </mc:Choice>
    <mc:Fallback/>
  </mc:AlternateContent>
  <xdr:twoCellAnchor>
    <xdr:from>
      <xdr:col>7</xdr:col>
      <xdr:colOff>704850</xdr:colOff>
      <xdr:row>41</xdr:row>
      <xdr:rowOff>9525</xdr:rowOff>
    </xdr:from>
    <xdr:to>
      <xdr:col>8</xdr:col>
      <xdr:colOff>345393</xdr:colOff>
      <xdr:row>49</xdr:row>
      <xdr:rowOff>28575</xdr:rowOff>
    </xdr:to>
    <xdr:grpSp>
      <xdr:nvGrpSpPr>
        <xdr:cNvPr id="2" name="Gruppieren 1">
          <a:extLst>
            <a:ext uri="{FF2B5EF4-FFF2-40B4-BE49-F238E27FC236}">
              <a16:creationId xmlns:a16="http://schemas.microsoft.com/office/drawing/2014/main" id="{B64A223A-8170-46CA-9F05-55877B82DAF2}"/>
            </a:ext>
          </a:extLst>
        </xdr:cNvPr>
        <xdr:cNvGrpSpPr/>
      </xdr:nvGrpSpPr>
      <xdr:grpSpPr>
        <a:xfrm>
          <a:off x="6734175" y="5638800"/>
          <a:ext cx="621618" cy="1190625"/>
          <a:chOff x="6719557" y="6247108"/>
          <a:chExt cx="617734" cy="798734"/>
        </a:xfrm>
      </xdr:grpSpPr>
      <xdr:cxnSp macro="">
        <xdr:nvCxnSpPr>
          <xdr:cNvPr id="10" name="Gerader Verbinder 17">
            <a:extLst>
              <a:ext uri="{FF2B5EF4-FFF2-40B4-BE49-F238E27FC236}">
                <a16:creationId xmlns:a16="http://schemas.microsoft.com/office/drawing/2014/main" id="{86A0606C-1312-965E-0C8D-1077F6541984}"/>
              </a:ext>
            </a:extLst>
          </xdr:cNvPr>
          <xdr:cNvCxnSpPr/>
        </xdr:nvCxnSpPr>
        <xdr:spPr>
          <a:xfrm rot="5400000">
            <a:off x="6869465" y="6572062"/>
            <a:ext cx="792777" cy="142874"/>
          </a:xfrm>
          <a:prstGeom prst="bentConnector3">
            <a:avLst>
              <a:gd name="adj1" fmla="val 25823"/>
            </a:avLst>
          </a:prstGeom>
          <a:ln>
            <a:solidFill>
              <a:schemeClr val="bg1">
                <a:lumMod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1" name="Gerader Verbinder 16">
            <a:extLst>
              <a:ext uri="{FF2B5EF4-FFF2-40B4-BE49-F238E27FC236}">
                <a16:creationId xmlns:a16="http://schemas.microsoft.com/office/drawing/2014/main" id="{953FF31A-8538-5ABF-4977-AF72BF406434}"/>
              </a:ext>
            </a:extLst>
          </xdr:cNvPr>
          <xdr:cNvCxnSpPr/>
        </xdr:nvCxnSpPr>
        <xdr:spPr>
          <a:xfrm rot="16200000" flipH="1">
            <a:off x="6385676" y="6580989"/>
            <a:ext cx="798734" cy="130971"/>
          </a:xfrm>
          <a:prstGeom prst="bentConnector3">
            <a:avLst>
              <a:gd name="adj1" fmla="val 25624"/>
            </a:avLst>
          </a:prstGeom>
          <a:ln>
            <a:solidFill>
              <a:schemeClr val="bg1">
                <a:lumMod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171450</xdr:colOff>
      <xdr:row>36</xdr:row>
      <xdr:rowOff>131884</xdr:rowOff>
    </xdr:from>
    <xdr:to>
      <xdr:col>8</xdr:col>
      <xdr:colOff>748863</xdr:colOff>
      <xdr:row>54</xdr:row>
      <xdr:rowOff>93346</xdr:rowOff>
    </xdr:to>
    <xdr:grpSp>
      <xdr:nvGrpSpPr>
        <xdr:cNvPr id="14" name="Gruppieren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GrpSpPr/>
      </xdr:nvGrpSpPr>
      <xdr:grpSpPr>
        <a:xfrm>
          <a:off x="4600575" y="5027734"/>
          <a:ext cx="3158688" cy="2466537"/>
          <a:chOff x="5267391" y="5832322"/>
          <a:chExt cx="2059765" cy="2442998"/>
        </a:xfrm>
      </xdr:grpSpPr>
      <xdr:cxnSp macro="">
        <xdr:nvCxnSpPr>
          <xdr:cNvPr id="3" name="Gerade Verbindung 2">
            <a:extLst>
              <a:ext uri="{FF2B5EF4-FFF2-40B4-BE49-F238E27FC236}">
                <a16:creationId xmlns:a16="http://schemas.microsoft.com/office/drawing/2014/main" id="{00000000-0008-0000-0200-000003000000}"/>
              </a:ext>
            </a:extLst>
          </xdr:cNvPr>
          <xdr:cNvCxnSpPr/>
        </xdr:nvCxnSpPr>
        <xdr:spPr bwMode="auto">
          <a:xfrm>
            <a:off x="7268035" y="5844606"/>
            <a:ext cx="0" cy="123624"/>
          </a:xfrm>
          <a:prstGeom prst="line">
            <a:avLst/>
          </a:prstGeom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" name="Gerade Verbindung 3">
            <a:extLst>
              <a:ext uri="{FF2B5EF4-FFF2-40B4-BE49-F238E27FC236}">
                <a16:creationId xmlns:a16="http://schemas.microsoft.com/office/drawing/2014/main" id="{00000000-0008-0000-0200-000004000000}"/>
              </a:ext>
            </a:extLst>
          </xdr:cNvPr>
          <xdr:cNvCxnSpPr/>
        </xdr:nvCxnSpPr>
        <xdr:spPr bwMode="auto">
          <a:xfrm flipH="1">
            <a:off x="6050017" y="5969285"/>
            <a:ext cx="1219069" cy="0"/>
          </a:xfrm>
          <a:prstGeom prst="line">
            <a:avLst/>
          </a:prstGeom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" name="Gerade Verbindung 4">
            <a:extLst>
              <a:ext uri="{FF2B5EF4-FFF2-40B4-BE49-F238E27FC236}">
                <a16:creationId xmlns:a16="http://schemas.microsoft.com/office/drawing/2014/main" id="{00000000-0008-0000-0200-000005000000}"/>
              </a:ext>
            </a:extLst>
          </xdr:cNvPr>
          <xdr:cNvCxnSpPr/>
        </xdr:nvCxnSpPr>
        <xdr:spPr bwMode="auto">
          <a:xfrm>
            <a:off x="6049101" y="5971317"/>
            <a:ext cx="0" cy="2313528"/>
          </a:xfrm>
          <a:prstGeom prst="line">
            <a:avLst/>
          </a:prstGeom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6" name="Gerade Verbindung mit Pfeil 5">
            <a:extLst>
              <a:ext uri="{FF2B5EF4-FFF2-40B4-BE49-F238E27FC236}">
                <a16:creationId xmlns:a16="http://schemas.microsoft.com/office/drawing/2014/main" id="{00000000-0008-0000-0200-000006000000}"/>
              </a:ext>
            </a:extLst>
          </xdr:cNvPr>
          <xdr:cNvCxnSpPr/>
        </xdr:nvCxnSpPr>
        <xdr:spPr bwMode="auto">
          <a:xfrm flipH="1">
            <a:off x="5213985" y="8284845"/>
            <a:ext cx="836032" cy="0"/>
          </a:xfrm>
          <a:prstGeom prst="straightConnector1">
            <a:avLst/>
          </a:prstGeom>
          <a:ln>
            <a:solidFill>
              <a:schemeClr val="tx1">
                <a:lumMod val="50000"/>
                <a:lumOff val="50000"/>
              </a:schemeClr>
            </a:solidFill>
            <a:tailEnd type="arrow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42</xdr:row>
          <xdr:rowOff>19050</xdr:rowOff>
        </xdr:from>
        <xdr:to>
          <xdr:col>8</xdr:col>
          <xdr:colOff>1028700</xdr:colOff>
          <xdr:row>42</xdr:row>
          <xdr:rowOff>123825</xdr:rowOff>
        </xdr:to>
        <xdr:sp macro="" textlink="">
          <xdr:nvSpPr>
            <xdr:cNvPr id="2049" name="Scroll Bar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2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43</xdr:row>
          <xdr:rowOff>19050</xdr:rowOff>
        </xdr:from>
        <xdr:to>
          <xdr:col>8</xdr:col>
          <xdr:colOff>1028700</xdr:colOff>
          <xdr:row>43</xdr:row>
          <xdr:rowOff>123825</xdr:rowOff>
        </xdr:to>
        <xdr:sp macro="" textlink="">
          <xdr:nvSpPr>
            <xdr:cNvPr id="2050" name="Scroll Bar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2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44</xdr:row>
          <xdr:rowOff>28575</xdr:rowOff>
        </xdr:from>
        <xdr:to>
          <xdr:col>8</xdr:col>
          <xdr:colOff>1028700</xdr:colOff>
          <xdr:row>44</xdr:row>
          <xdr:rowOff>133350</xdr:rowOff>
        </xdr:to>
        <xdr:sp macro="" textlink="">
          <xdr:nvSpPr>
            <xdr:cNvPr id="2052" name="Scroll Bar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2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45</xdr:row>
          <xdr:rowOff>28575</xdr:rowOff>
        </xdr:from>
        <xdr:to>
          <xdr:col>8</xdr:col>
          <xdr:colOff>1028700</xdr:colOff>
          <xdr:row>45</xdr:row>
          <xdr:rowOff>133350</xdr:rowOff>
        </xdr:to>
        <xdr:sp macro="" textlink="">
          <xdr:nvSpPr>
            <xdr:cNvPr id="2053" name="Scroll Bar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2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47</xdr:row>
          <xdr:rowOff>28575</xdr:rowOff>
        </xdr:from>
        <xdr:to>
          <xdr:col>8</xdr:col>
          <xdr:colOff>1027500</xdr:colOff>
          <xdr:row>47</xdr:row>
          <xdr:rowOff>132975</xdr:rowOff>
        </xdr:to>
        <xdr:sp macro="" textlink="">
          <xdr:nvSpPr>
            <xdr:cNvPr id="2060" name="Scroll Bar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CD28D360-6926-48CE-9A08-31E392A7BB4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28574</xdr:colOff>
          <xdr:row>48</xdr:row>
          <xdr:rowOff>28575</xdr:rowOff>
        </xdr:from>
        <xdr:to>
          <xdr:col>8</xdr:col>
          <xdr:colOff>1027499</xdr:colOff>
          <xdr:row>48</xdr:row>
          <xdr:rowOff>132975</xdr:rowOff>
        </xdr:to>
        <xdr:sp macro="" textlink="">
          <xdr:nvSpPr>
            <xdr:cNvPr id="2061" name="Scroll Bar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1F2EF337-BE07-4A72-9C1E-AC18B5AD5CC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 fLocksWithSheet="0"/>
      </xdr:twoCellAnchor>
    </mc:Choice>
    <mc:Fallback/>
  </mc:AlternateContent>
  <xdr:twoCellAnchor>
    <xdr:from>
      <xdr:col>7</xdr:col>
      <xdr:colOff>714375</xdr:colOff>
      <xdr:row>41</xdr:row>
      <xdr:rowOff>18282</xdr:rowOff>
    </xdr:from>
    <xdr:to>
      <xdr:col>8</xdr:col>
      <xdr:colOff>349876</xdr:colOff>
      <xdr:row>50</xdr:row>
      <xdr:rowOff>11206</xdr:rowOff>
    </xdr:to>
    <xdr:grpSp>
      <xdr:nvGrpSpPr>
        <xdr:cNvPr id="7" name="Gruppieren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GrpSpPr/>
      </xdr:nvGrpSpPr>
      <xdr:grpSpPr>
        <a:xfrm>
          <a:off x="6743700" y="5647557"/>
          <a:ext cx="616576" cy="1221649"/>
          <a:chOff x="6719557" y="6247108"/>
          <a:chExt cx="617734" cy="798734"/>
        </a:xfrm>
      </xdr:grpSpPr>
      <xdr:cxnSp macro="">
        <xdr:nvCxnSpPr>
          <xdr:cNvPr id="8" name="Gerader Verbinder 17">
            <a:extLst>
              <a:ext uri="{FF2B5EF4-FFF2-40B4-BE49-F238E27FC236}">
                <a16:creationId xmlns:a16="http://schemas.microsoft.com/office/drawing/2014/main" id="{00000000-0008-0000-0200-000008000000}"/>
              </a:ext>
            </a:extLst>
          </xdr:cNvPr>
          <xdr:cNvCxnSpPr/>
        </xdr:nvCxnSpPr>
        <xdr:spPr>
          <a:xfrm rot="5400000">
            <a:off x="6869465" y="6572062"/>
            <a:ext cx="792777" cy="142874"/>
          </a:xfrm>
          <a:prstGeom prst="bentConnector3">
            <a:avLst>
              <a:gd name="adj1" fmla="val 25823"/>
            </a:avLst>
          </a:prstGeom>
          <a:ln>
            <a:solidFill>
              <a:schemeClr val="bg1">
                <a:lumMod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9" name="Gerader Verbinder 16">
            <a:extLst>
              <a:ext uri="{FF2B5EF4-FFF2-40B4-BE49-F238E27FC236}">
                <a16:creationId xmlns:a16="http://schemas.microsoft.com/office/drawing/2014/main" id="{00000000-0008-0000-0200-000009000000}"/>
              </a:ext>
            </a:extLst>
          </xdr:cNvPr>
          <xdr:cNvCxnSpPr/>
        </xdr:nvCxnSpPr>
        <xdr:spPr>
          <a:xfrm rot="16200000" flipH="1">
            <a:off x="6385676" y="6580989"/>
            <a:ext cx="798734" cy="130971"/>
          </a:xfrm>
          <a:prstGeom prst="bentConnector3">
            <a:avLst>
              <a:gd name="adj1" fmla="val 25624"/>
            </a:avLst>
          </a:prstGeom>
          <a:ln>
            <a:solidFill>
              <a:schemeClr val="bg1">
                <a:lumMod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142875</xdr:colOff>
      <xdr:row>36</xdr:row>
      <xdr:rowOff>149088</xdr:rowOff>
    </xdr:from>
    <xdr:to>
      <xdr:col>8</xdr:col>
      <xdr:colOff>647700</xdr:colOff>
      <xdr:row>54</xdr:row>
      <xdr:rowOff>64772</xdr:rowOff>
    </xdr:to>
    <xdr:grpSp>
      <xdr:nvGrpSpPr>
        <xdr:cNvPr id="8" name="Gruppieren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GrpSpPr/>
      </xdr:nvGrpSpPr>
      <xdr:grpSpPr>
        <a:xfrm>
          <a:off x="4572000" y="4987788"/>
          <a:ext cx="3086100" cy="2420759"/>
          <a:chOff x="5265420" y="5762625"/>
          <a:chExt cx="2009775" cy="2398395"/>
        </a:xfrm>
      </xdr:grpSpPr>
      <xdr:cxnSp macro="">
        <xdr:nvCxnSpPr>
          <xdr:cNvPr id="3" name="Gerade Verbindung 2">
            <a:extLst>
              <a:ext uri="{FF2B5EF4-FFF2-40B4-BE49-F238E27FC236}">
                <a16:creationId xmlns:a16="http://schemas.microsoft.com/office/drawing/2014/main" id="{00000000-0008-0000-0300-000003000000}"/>
              </a:ext>
            </a:extLst>
          </xdr:cNvPr>
          <xdr:cNvCxnSpPr/>
        </xdr:nvCxnSpPr>
        <xdr:spPr bwMode="auto">
          <a:xfrm>
            <a:off x="7277100" y="5762625"/>
            <a:ext cx="0" cy="123727"/>
          </a:xfrm>
          <a:prstGeom prst="line">
            <a:avLst/>
          </a:prstGeom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" name="Gerade Verbindung 3">
            <a:extLst>
              <a:ext uri="{FF2B5EF4-FFF2-40B4-BE49-F238E27FC236}">
                <a16:creationId xmlns:a16="http://schemas.microsoft.com/office/drawing/2014/main" id="{00000000-0008-0000-0300-000004000000}"/>
              </a:ext>
            </a:extLst>
          </xdr:cNvPr>
          <xdr:cNvCxnSpPr/>
        </xdr:nvCxnSpPr>
        <xdr:spPr bwMode="auto">
          <a:xfrm flipH="1">
            <a:off x="6067425" y="5895869"/>
            <a:ext cx="1207770" cy="0"/>
          </a:xfrm>
          <a:prstGeom prst="line">
            <a:avLst/>
          </a:prstGeom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" name="Gerade Verbindung 4">
            <a:extLst>
              <a:ext uri="{FF2B5EF4-FFF2-40B4-BE49-F238E27FC236}">
                <a16:creationId xmlns:a16="http://schemas.microsoft.com/office/drawing/2014/main" id="{00000000-0008-0000-0300-000005000000}"/>
              </a:ext>
            </a:extLst>
          </xdr:cNvPr>
          <xdr:cNvCxnSpPr/>
        </xdr:nvCxnSpPr>
        <xdr:spPr bwMode="auto">
          <a:xfrm>
            <a:off x="6066378" y="5895869"/>
            <a:ext cx="0" cy="2265151"/>
          </a:xfrm>
          <a:prstGeom prst="line">
            <a:avLst/>
          </a:prstGeom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6" name="Gerade Verbindung mit Pfeil 5">
            <a:extLst>
              <a:ext uri="{FF2B5EF4-FFF2-40B4-BE49-F238E27FC236}">
                <a16:creationId xmlns:a16="http://schemas.microsoft.com/office/drawing/2014/main" id="{00000000-0008-0000-0300-000006000000}"/>
              </a:ext>
            </a:extLst>
          </xdr:cNvPr>
          <xdr:cNvCxnSpPr/>
        </xdr:nvCxnSpPr>
        <xdr:spPr bwMode="auto">
          <a:xfrm flipH="1">
            <a:off x="5265420" y="8161020"/>
            <a:ext cx="809625" cy="0"/>
          </a:xfrm>
          <a:prstGeom prst="straightConnector1">
            <a:avLst/>
          </a:prstGeom>
          <a:ln>
            <a:solidFill>
              <a:schemeClr val="tx1">
                <a:lumMod val="50000"/>
                <a:lumOff val="50000"/>
              </a:schemeClr>
            </a:solidFill>
            <a:tailEnd type="arrow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42</xdr:row>
          <xdr:rowOff>19050</xdr:rowOff>
        </xdr:from>
        <xdr:to>
          <xdr:col>8</xdr:col>
          <xdr:colOff>1019175</xdr:colOff>
          <xdr:row>42</xdr:row>
          <xdr:rowOff>123825</xdr:rowOff>
        </xdr:to>
        <xdr:sp macro="" textlink="">
          <xdr:nvSpPr>
            <xdr:cNvPr id="3073" name="Scroll Bar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3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43</xdr:row>
          <xdr:rowOff>19050</xdr:rowOff>
        </xdr:from>
        <xdr:to>
          <xdr:col>8</xdr:col>
          <xdr:colOff>1019175</xdr:colOff>
          <xdr:row>43</xdr:row>
          <xdr:rowOff>123825</xdr:rowOff>
        </xdr:to>
        <xdr:sp macro="" textlink="">
          <xdr:nvSpPr>
            <xdr:cNvPr id="3074" name="Scroll Bar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3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44</xdr:row>
          <xdr:rowOff>38100</xdr:rowOff>
        </xdr:from>
        <xdr:to>
          <xdr:col>8</xdr:col>
          <xdr:colOff>1019175</xdr:colOff>
          <xdr:row>44</xdr:row>
          <xdr:rowOff>142875</xdr:rowOff>
        </xdr:to>
        <xdr:sp macro="" textlink="">
          <xdr:nvSpPr>
            <xdr:cNvPr id="3075" name="Scroll Bar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3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45</xdr:row>
          <xdr:rowOff>38100</xdr:rowOff>
        </xdr:from>
        <xdr:to>
          <xdr:col>8</xdr:col>
          <xdr:colOff>1028700</xdr:colOff>
          <xdr:row>45</xdr:row>
          <xdr:rowOff>142875</xdr:rowOff>
        </xdr:to>
        <xdr:sp macro="" textlink="">
          <xdr:nvSpPr>
            <xdr:cNvPr id="3076" name="Scroll Bar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3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 fLocksWithSheet="0"/>
      </xdr:twoCellAnchor>
    </mc:Choice>
    <mc:Fallback/>
  </mc:AlternateContent>
  <xdr:twoCellAnchor>
    <xdr:from>
      <xdr:col>7</xdr:col>
      <xdr:colOff>718789</xdr:colOff>
      <xdr:row>41</xdr:row>
      <xdr:rowOff>144037</xdr:rowOff>
    </xdr:from>
    <xdr:to>
      <xdr:col>8</xdr:col>
      <xdr:colOff>354290</xdr:colOff>
      <xdr:row>49</xdr:row>
      <xdr:rowOff>47170</xdr:rowOff>
    </xdr:to>
    <xdr:grpSp>
      <xdr:nvGrpSpPr>
        <xdr:cNvPr id="2" name="Gruppier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pSpPr/>
      </xdr:nvGrpSpPr>
      <xdr:grpSpPr>
        <a:xfrm>
          <a:off x="6748114" y="5716162"/>
          <a:ext cx="616576" cy="1074708"/>
          <a:chOff x="6719557" y="6247108"/>
          <a:chExt cx="617734" cy="798734"/>
        </a:xfrm>
      </xdr:grpSpPr>
      <xdr:cxnSp macro="">
        <xdr:nvCxnSpPr>
          <xdr:cNvPr id="7" name="Gerader Verbinder 17">
            <a:extLst>
              <a:ext uri="{FF2B5EF4-FFF2-40B4-BE49-F238E27FC236}">
                <a16:creationId xmlns:a16="http://schemas.microsoft.com/office/drawing/2014/main" id="{00000000-0008-0000-0300-000007000000}"/>
              </a:ext>
            </a:extLst>
          </xdr:cNvPr>
          <xdr:cNvCxnSpPr/>
        </xdr:nvCxnSpPr>
        <xdr:spPr>
          <a:xfrm rot="5400000">
            <a:off x="6869465" y="6572062"/>
            <a:ext cx="792777" cy="142874"/>
          </a:xfrm>
          <a:prstGeom prst="bentConnector3">
            <a:avLst>
              <a:gd name="adj1" fmla="val 24391"/>
            </a:avLst>
          </a:prstGeom>
          <a:ln>
            <a:solidFill>
              <a:schemeClr val="bg1">
                <a:lumMod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9" name="Gerader Verbinder 16">
            <a:extLst>
              <a:ext uri="{FF2B5EF4-FFF2-40B4-BE49-F238E27FC236}">
                <a16:creationId xmlns:a16="http://schemas.microsoft.com/office/drawing/2014/main" id="{00000000-0008-0000-0300-000009000000}"/>
              </a:ext>
            </a:extLst>
          </xdr:cNvPr>
          <xdr:cNvCxnSpPr/>
        </xdr:nvCxnSpPr>
        <xdr:spPr>
          <a:xfrm rot="16200000" flipH="1">
            <a:off x="6385676" y="6580989"/>
            <a:ext cx="798734" cy="130971"/>
          </a:xfrm>
          <a:prstGeom prst="bentConnector3">
            <a:avLst>
              <a:gd name="adj1" fmla="val 24583"/>
            </a:avLst>
          </a:prstGeom>
          <a:ln>
            <a:solidFill>
              <a:schemeClr val="bg1">
                <a:lumMod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47</xdr:row>
          <xdr:rowOff>28575</xdr:rowOff>
        </xdr:from>
        <xdr:to>
          <xdr:col>8</xdr:col>
          <xdr:colOff>1027500</xdr:colOff>
          <xdr:row>47</xdr:row>
          <xdr:rowOff>132975</xdr:rowOff>
        </xdr:to>
        <xdr:sp macro="" textlink="">
          <xdr:nvSpPr>
            <xdr:cNvPr id="3077" name="Scroll Bar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5FA4A623-E740-4CC5-A968-9077980FF9F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28574</xdr:colOff>
          <xdr:row>48</xdr:row>
          <xdr:rowOff>28575</xdr:rowOff>
        </xdr:from>
        <xdr:to>
          <xdr:col>8</xdr:col>
          <xdr:colOff>1027499</xdr:colOff>
          <xdr:row>48</xdr:row>
          <xdr:rowOff>132975</xdr:rowOff>
        </xdr:to>
        <xdr:sp macro="" textlink="">
          <xdr:nvSpPr>
            <xdr:cNvPr id="3078" name="Scroll Bar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51C282F1-608F-4E2F-B40F-C23ECE4EAF3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 fLocksWithSheet="0"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38</xdr:row>
      <xdr:rowOff>152401</xdr:rowOff>
    </xdr:from>
    <xdr:to>
      <xdr:col>8</xdr:col>
      <xdr:colOff>645795</xdr:colOff>
      <xdr:row>56</xdr:row>
      <xdr:rowOff>66676</xdr:rowOff>
    </xdr:to>
    <xdr:grpSp>
      <xdr:nvGrpSpPr>
        <xdr:cNvPr id="2" name="Gruppieren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pSpPr/>
      </xdr:nvGrpSpPr>
      <xdr:grpSpPr>
        <a:xfrm>
          <a:off x="4552950" y="5048251"/>
          <a:ext cx="3103245" cy="2276475"/>
          <a:chOff x="5265420" y="5762625"/>
          <a:chExt cx="2009775" cy="2398395"/>
        </a:xfrm>
      </xdr:grpSpPr>
      <xdr:cxnSp macro="">
        <xdr:nvCxnSpPr>
          <xdr:cNvPr id="3" name="Gerade Verbindung 2">
            <a:extLst>
              <a:ext uri="{FF2B5EF4-FFF2-40B4-BE49-F238E27FC236}">
                <a16:creationId xmlns:a16="http://schemas.microsoft.com/office/drawing/2014/main" id="{00000000-0008-0000-0400-000003000000}"/>
              </a:ext>
            </a:extLst>
          </xdr:cNvPr>
          <xdr:cNvCxnSpPr/>
        </xdr:nvCxnSpPr>
        <xdr:spPr bwMode="auto">
          <a:xfrm>
            <a:off x="7277100" y="5762625"/>
            <a:ext cx="0" cy="123727"/>
          </a:xfrm>
          <a:prstGeom prst="line">
            <a:avLst/>
          </a:prstGeom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" name="Gerade Verbindung 3">
            <a:extLst>
              <a:ext uri="{FF2B5EF4-FFF2-40B4-BE49-F238E27FC236}">
                <a16:creationId xmlns:a16="http://schemas.microsoft.com/office/drawing/2014/main" id="{00000000-0008-0000-0400-000004000000}"/>
              </a:ext>
            </a:extLst>
          </xdr:cNvPr>
          <xdr:cNvCxnSpPr/>
        </xdr:nvCxnSpPr>
        <xdr:spPr bwMode="auto">
          <a:xfrm flipH="1">
            <a:off x="6067425" y="5895869"/>
            <a:ext cx="1207770" cy="0"/>
          </a:xfrm>
          <a:prstGeom prst="line">
            <a:avLst/>
          </a:prstGeom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" name="Gerade Verbindung 4">
            <a:extLst>
              <a:ext uri="{FF2B5EF4-FFF2-40B4-BE49-F238E27FC236}">
                <a16:creationId xmlns:a16="http://schemas.microsoft.com/office/drawing/2014/main" id="{00000000-0008-0000-0400-000005000000}"/>
              </a:ext>
            </a:extLst>
          </xdr:cNvPr>
          <xdr:cNvCxnSpPr/>
        </xdr:nvCxnSpPr>
        <xdr:spPr bwMode="auto">
          <a:xfrm>
            <a:off x="6066378" y="5895869"/>
            <a:ext cx="0" cy="2265151"/>
          </a:xfrm>
          <a:prstGeom prst="line">
            <a:avLst/>
          </a:prstGeom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6" name="Gerade Verbindung mit Pfeil 5">
            <a:extLst>
              <a:ext uri="{FF2B5EF4-FFF2-40B4-BE49-F238E27FC236}">
                <a16:creationId xmlns:a16="http://schemas.microsoft.com/office/drawing/2014/main" id="{00000000-0008-0000-0400-000006000000}"/>
              </a:ext>
            </a:extLst>
          </xdr:cNvPr>
          <xdr:cNvCxnSpPr/>
        </xdr:nvCxnSpPr>
        <xdr:spPr bwMode="auto">
          <a:xfrm flipH="1">
            <a:off x="5265420" y="8161020"/>
            <a:ext cx="809625" cy="0"/>
          </a:xfrm>
          <a:prstGeom prst="straightConnector1">
            <a:avLst/>
          </a:prstGeom>
          <a:ln>
            <a:solidFill>
              <a:schemeClr val="tx1">
                <a:lumMod val="50000"/>
                <a:lumOff val="50000"/>
              </a:schemeClr>
            </a:solidFill>
            <a:tailEnd type="arrow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44</xdr:row>
          <xdr:rowOff>19050</xdr:rowOff>
        </xdr:from>
        <xdr:to>
          <xdr:col>8</xdr:col>
          <xdr:colOff>1019175</xdr:colOff>
          <xdr:row>44</xdr:row>
          <xdr:rowOff>123825</xdr:rowOff>
        </xdr:to>
        <xdr:sp macro="" textlink="">
          <xdr:nvSpPr>
            <xdr:cNvPr id="7169" name="Scroll Bar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45</xdr:row>
          <xdr:rowOff>19050</xdr:rowOff>
        </xdr:from>
        <xdr:to>
          <xdr:col>8</xdr:col>
          <xdr:colOff>1019175</xdr:colOff>
          <xdr:row>45</xdr:row>
          <xdr:rowOff>123825</xdr:rowOff>
        </xdr:to>
        <xdr:sp macro="" textlink="">
          <xdr:nvSpPr>
            <xdr:cNvPr id="7170" name="Scroll Bar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46</xdr:row>
          <xdr:rowOff>38100</xdr:rowOff>
        </xdr:from>
        <xdr:to>
          <xdr:col>8</xdr:col>
          <xdr:colOff>1019175</xdr:colOff>
          <xdr:row>46</xdr:row>
          <xdr:rowOff>142875</xdr:rowOff>
        </xdr:to>
        <xdr:sp macro="" textlink="">
          <xdr:nvSpPr>
            <xdr:cNvPr id="7171" name="Scroll Bar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47</xdr:row>
          <xdr:rowOff>38100</xdr:rowOff>
        </xdr:from>
        <xdr:to>
          <xdr:col>8</xdr:col>
          <xdr:colOff>1019175</xdr:colOff>
          <xdr:row>47</xdr:row>
          <xdr:rowOff>142875</xdr:rowOff>
        </xdr:to>
        <xdr:sp macro="" textlink="">
          <xdr:nvSpPr>
            <xdr:cNvPr id="7172" name="Scroll Bar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 fLocksWithSheet="0"/>
      </xdr:twoCellAnchor>
    </mc:Choice>
    <mc:Fallback/>
  </mc:AlternateContent>
  <xdr:twoCellAnchor editAs="oneCell">
    <xdr:from>
      <xdr:col>5</xdr:col>
      <xdr:colOff>829</xdr:colOff>
      <xdr:row>58</xdr:row>
      <xdr:rowOff>172776</xdr:rowOff>
    </xdr:from>
    <xdr:to>
      <xdr:col>5</xdr:col>
      <xdr:colOff>132634</xdr:colOff>
      <xdr:row>59</xdr:row>
      <xdr:rowOff>841</xdr:rowOff>
    </xdr:to>
    <xdr:pic>
      <xdr:nvPicPr>
        <xdr:cNvPr id="13" name="Grafik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7629" t="6319" r="3392" b="5829"/>
        <a:stretch/>
      </xdr:blipFill>
      <xdr:spPr>
        <a:xfrm>
          <a:off x="4426291" y="7910007"/>
          <a:ext cx="131805" cy="150451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49</xdr:row>
          <xdr:rowOff>28575</xdr:rowOff>
        </xdr:from>
        <xdr:to>
          <xdr:col>8</xdr:col>
          <xdr:colOff>1027500</xdr:colOff>
          <xdr:row>49</xdr:row>
          <xdr:rowOff>132975</xdr:rowOff>
        </xdr:to>
        <xdr:sp macro="" textlink="">
          <xdr:nvSpPr>
            <xdr:cNvPr id="7173" name="Scroll Bar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7C860ACB-65E7-42A8-8516-9BB34A837D9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28574</xdr:colOff>
          <xdr:row>50</xdr:row>
          <xdr:rowOff>28575</xdr:rowOff>
        </xdr:from>
        <xdr:to>
          <xdr:col>8</xdr:col>
          <xdr:colOff>1027499</xdr:colOff>
          <xdr:row>50</xdr:row>
          <xdr:rowOff>132975</xdr:rowOff>
        </xdr:to>
        <xdr:sp macro="" textlink="">
          <xdr:nvSpPr>
            <xdr:cNvPr id="7174" name="Scroll Bar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3028745F-A3C8-4159-8908-2B2732F25C1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 fLocksWithSheet="0"/>
      </xdr:twoCellAnchor>
    </mc:Choice>
    <mc:Fallback/>
  </mc:AlternateContent>
  <xdr:twoCellAnchor>
    <xdr:from>
      <xdr:col>7</xdr:col>
      <xdr:colOff>708673</xdr:colOff>
      <xdr:row>43</xdr:row>
      <xdr:rowOff>117542</xdr:rowOff>
    </xdr:from>
    <xdr:to>
      <xdr:col>8</xdr:col>
      <xdr:colOff>345535</xdr:colOff>
      <xdr:row>51</xdr:row>
      <xdr:rowOff>29768</xdr:rowOff>
    </xdr:to>
    <xdr:grpSp>
      <xdr:nvGrpSpPr>
        <xdr:cNvPr id="16" name="Gruppieren 15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GrpSpPr/>
      </xdr:nvGrpSpPr>
      <xdr:grpSpPr>
        <a:xfrm>
          <a:off x="6737998" y="5727767"/>
          <a:ext cx="617937" cy="1083801"/>
          <a:chOff x="6719557" y="6247108"/>
          <a:chExt cx="617734" cy="798734"/>
        </a:xfrm>
      </xdr:grpSpPr>
      <xdr:cxnSp macro="">
        <xdr:nvCxnSpPr>
          <xdr:cNvPr id="11" name="Gerader Verbinder 17">
            <a:extLst>
              <a:ext uri="{FF2B5EF4-FFF2-40B4-BE49-F238E27FC236}">
                <a16:creationId xmlns:a16="http://schemas.microsoft.com/office/drawing/2014/main" id="{00000000-0008-0000-0400-00000B000000}"/>
              </a:ext>
            </a:extLst>
          </xdr:cNvPr>
          <xdr:cNvCxnSpPr/>
        </xdr:nvCxnSpPr>
        <xdr:spPr>
          <a:xfrm rot="5400000">
            <a:off x="6869465" y="6572062"/>
            <a:ext cx="792777" cy="142874"/>
          </a:xfrm>
          <a:prstGeom prst="bentConnector3">
            <a:avLst>
              <a:gd name="adj1" fmla="val 27504"/>
            </a:avLst>
          </a:prstGeom>
          <a:ln>
            <a:solidFill>
              <a:schemeClr val="bg1">
                <a:lumMod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2" name="Gerader Verbinder 16">
            <a:extLst>
              <a:ext uri="{FF2B5EF4-FFF2-40B4-BE49-F238E27FC236}">
                <a16:creationId xmlns:a16="http://schemas.microsoft.com/office/drawing/2014/main" id="{00000000-0008-0000-0400-00000C000000}"/>
              </a:ext>
            </a:extLst>
          </xdr:cNvPr>
          <xdr:cNvCxnSpPr/>
        </xdr:nvCxnSpPr>
        <xdr:spPr>
          <a:xfrm rot="16200000" flipH="1">
            <a:off x="6385676" y="6580989"/>
            <a:ext cx="798734" cy="130971"/>
          </a:xfrm>
          <a:prstGeom prst="bentConnector3">
            <a:avLst>
              <a:gd name="adj1" fmla="val 27673"/>
            </a:avLst>
          </a:prstGeom>
          <a:ln>
            <a:solidFill>
              <a:schemeClr val="bg1">
                <a:lumMod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1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0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9.xml"/><Relationship Id="rId5" Type="http://schemas.openxmlformats.org/officeDocument/2006/relationships/ctrlProp" Target="../ctrlProps/ctrlProp8.xml"/><Relationship Id="rId4" Type="http://schemas.openxmlformats.org/officeDocument/2006/relationships/ctrlProp" Target="../ctrlProps/ctrlProp7.xml"/><Relationship Id="rId9" Type="http://schemas.openxmlformats.org/officeDocument/2006/relationships/ctrlProp" Target="../ctrlProps/ctrlProp12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7.xml"/><Relationship Id="rId3" Type="http://schemas.openxmlformats.org/officeDocument/2006/relationships/vmlDrawing" Target="../drawings/vmlDrawing3.vml"/><Relationship Id="rId7" Type="http://schemas.openxmlformats.org/officeDocument/2006/relationships/ctrlProp" Target="../ctrlProps/ctrlProp16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15.xml"/><Relationship Id="rId5" Type="http://schemas.openxmlformats.org/officeDocument/2006/relationships/ctrlProp" Target="../ctrlProps/ctrlProp14.xml"/><Relationship Id="rId4" Type="http://schemas.openxmlformats.org/officeDocument/2006/relationships/ctrlProp" Target="../ctrlProps/ctrlProp13.xml"/><Relationship Id="rId9" Type="http://schemas.openxmlformats.org/officeDocument/2006/relationships/ctrlProp" Target="../ctrlProps/ctrlProp18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3.xml"/><Relationship Id="rId3" Type="http://schemas.openxmlformats.org/officeDocument/2006/relationships/vmlDrawing" Target="../drawings/vmlDrawing4.vml"/><Relationship Id="rId7" Type="http://schemas.openxmlformats.org/officeDocument/2006/relationships/ctrlProp" Target="../ctrlProps/ctrlProp22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21.xml"/><Relationship Id="rId5" Type="http://schemas.openxmlformats.org/officeDocument/2006/relationships/ctrlProp" Target="../ctrlProps/ctrlProp20.xml"/><Relationship Id="rId4" Type="http://schemas.openxmlformats.org/officeDocument/2006/relationships/ctrlProp" Target="../ctrlProps/ctrlProp19.xml"/><Relationship Id="rId9" Type="http://schemas.openxmlformats.org/officeDocument/2006/relationships/ctrlProp" Target="../ctrlProps/ctrlProp2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2"/>
  <dimension ref="A1:M70"/>
  <sheetViews>
    <sheetView showGridLines="0" tabSelected="1" zoomScaleNormal="100" zoomScaleSheetLayoutView="85" zoomScalePageLayoutView="85" workbookViewId="0">
      <selection activeCell="O70" sqref="O70"/>
    </sheetView>
  </sheetViews>
  <sheetFormatPr baseColWidth="10" defaultColWidth="11.5703125" defaultRowHeight="15" x14ac:dyDescent="0.25"/>
  <cols>
    <col min="1" max="1" width="2.28515625" style="6" customWidth="1"/>
    <col min="2" max="2" width="3.28515625" style="6" customWidth="1"/>
    <col min="3" max="3" width="32.7109375" style="1" customWidth="1"/>
    <col min="4" max="4" width="6.28515625" style="1" customWidth="1"/>
    <col min="5" max="5" width="8.28515625" style="1" customWidth="1"/>
    <col min="6" max="6" width="14.7109375" style="1" customWidth="1"/>
    <col min="7" max="7" width="6.7109375" style="1" customWidth="1"/>
    <col min="8" max="8" width="0.85546875" style="1" customWidth="1"/>
    <col min="9" max="9" width="7.7109375" style="1" customWidth="1"/>
    <col min="10" max="10" width="1.7109375" style="1" customWidth="1"/>
    <col min="11" max="11" width="15.7109375" style="8" customWidth="1"/>
    <col min="12" max="12" width="1.85546875" customWidth="1"/>
    <col min="14" max="16384" width="11.5703125" style="1"/>
  </cols>
  <sheetData>
    <row r="1" spans="1:13" ht="5.0999999999999996" customHeight="1" x14ac:dyDescent="0.2">
      <c r="K1" s="7"/>
      <c r="L1" s="8"/>
      <c r="M1" s="1"/>
    </row>
    <row r="2" spans="1:13" s="34" customFormat="1" ht="35.1" customHeight="1" x14ac:dyDescent="0.2">
      <c r="A2" s="94" t="s">
        <v>66</v>
      </c>
      <c r="B2" s="6"/>
      <c r="F2" s="35"/>
      <c r="G2" s="35"/>
      <c r="H2" s="35"/>
      <c r="I2" s="35"/>
      <c r="J2" s="35"/>
      <c r="K2" s="37"/>
      <c r="L2" s="37"/>
    </row>
    <row r="3" spans="1:13" s="9" customFormat="1" ht="6" customHeight="1" x14ac:dyDescent="0.25">
      <c r="A3" s="65"/>
      <c r="B3" s="65"/>
      <c r="C3" s="65"/>
      <c r="D3" s="65"/>
      <c r="E3" s="65"/>
      <c r="F3" s="65"/>
      <c r="G3" s="65"/>
      <c r="H3" s="65"/>
      <c r="I3" s="65"/>
      <c r="J3" s="65"/>
      <c r="K3" s="65"/>
      <c r="L3" s="2"/>
    </row>
    <row r="4" spans="1:13" s="9" customFormat="1" ht="6" customHeight="1" x14ac:dyDescent="0.25">
      <c r="L4" s="2"/>
    </row>
    <row r="5" spans="1:13" s="9" customFormat="1" ht="12.95" customHeight="1" x14ac:dyDescent="0.25">
      <c r="I5" s="122" t="s">
        <v>61</v>
      </c>
      <c r="J5" s="122"/>
      <c r="K5" s="123" t="s">
        <v>43</v>
      </c>
      <c r="L5" s="28"/>
    </row>
    <row r="6" spans="1:13" s="9" customFormat="1" ht="6" customHeight="1" x14ac:dyDescent="0.25">
      <c r="K6" s="59"/>
      <c r="L6" s="2"/>
    </row>
    <row r="7" spans="1:13" s="10" customFormat="1" ht="12.95" customHeight="1" x14ac:dyDescent="0.2">
      <c r="A7" s="67">
        <v>1</v>
      </c>
      <c r="B7" s="68"/>
      <c r="C7" s="69" t="s">
        <v>0</v>
      </c>
      <c r="D7" s="69"/>
      <c r="E7" s="69"/>
      <c r="F7" s="70"/>
      <c r="G7" s="70"/>
      <c r="H7" s="70"/>
      <c r="I7" s="210">
        <f>K7/$K$38</f>
        <v>5.0000000000000001E-4</v>
      </c>
      <c r="J7" s="70"/>
      <c r="K7" s="133">
        <v>15000</v>
      </c>
      <c r="L7" s="31"/>
    </row>
    <row r="8" spans="1:13" ht="6.95" customHeight="1" x14ac:dyDescent="0.2">
      <c r="A8" s="3"/>
      <c r="B8" s="5"/>
      <c r="F8" s="60"/>
      <c r="G8" s="60"/>
      <c r="H8" s="60"/>
      <c r="I8" s="7"/>
      <c r="J8" s="60"/>
      <c r="K8" s="134"/>
      <c r="L8" s="38"/>
      <c r="M8" s="1"/>
    </row>
    <row r="9" spans="1:13" s="10" customFormat="1" ht="12.95" customHeight="1" x14ac:dyDescent="0.2">
      <c r="A9" s="67">
        <v>2</v>
      </c>
      <c r="B9" s="68"/>
      <c r="C9" s="69" t="s">
        <v>1</v>
      </c>
      <c r="D9" s="69"/>
      <c r="E9" s="69"/>
      <c r="F9" s="70"/>
      <c r="G9" s="70"/>
      <c r="H9" s="70"/>
      <c r="I9" s="210">
        <f>K9/$K$38</f>
        <v>0.30559999999999998</v>
      </c>
      <c r="J9" s="70"/>
      <c r="K9" s="135">
        <v>9000000</v>
      </c>
      <c r="L9" s="31"/>
    </row>
    <row r="10" spans="1:13" ht="6.95" customHeight="1" x14ac:dyDescent="0.2">
      <c r="F10" s="60"/>
      <c r="G10" s="60"/>
      <c r="H10" s="60"/>
      <c r="I10" s="7"/>
      <c r="J10" s="60"/>
      <c r="K10" s="134"/>
      <c r="L10" s="31"/>
      <c r="M10" s="1"/>
    </row>
    <row r="11" spans="1:13" s="9" customFormat="1" ht="12.95" customHeight="1" x14ac:dyDescent="0.2">
      <c r="A11" s="67">
        <v>3</v>
      </c>
      <c r="B11" s="68"/>
      <c r="C11" s="69" t="s">
        <v>7</v>
      </c>
      <c r="D11" s="69"/>
      <c r="E11" s="69"/>
      <c r="F11" s="70"/>
      <c r="G11" s="70"/>
      <c r="H11" s="70"/>
      <c r="I11" s="210">
        <f>K11/$K$38</f>
        <v>0.1918</v>
      </c>
      <c r="J11" s="70"/>
      <c r="K11" s="136">
        <f>SUM(K12:K19)</f>
        <v>5650000</v>
      </c>
      <c r="L11" s="31"/>
    </row>
    <row r="12" spans="1:13" ht="12.95" customHeight="1" x14ac:dyDescent="0.2">
      <c r="A12" s="71">
        <v>3</v>
      </c>
      <c r="B12" s="72" t="s">
        <v>17</v>
      </c>
      <c r="C12" s="73" t="s">
        <v>18</v>
      </c>
      <c r="D12" s="73"/>
      <c r="E12" s="73"/>
      <c r="F12" s="74"/>
      <c r="G12" s="74"/>
      <c r="H12" s="74"/>
      <c r="I12" s="211"/>
      <c r="J12" s="74"/>
      <c r="K12" s="137">
        <v>900000</v>
      </c>
      <c r="L12" s="31"/>
      <c r="M12" s="1"/>
    </row>
    <row r="13" spans="1:13" ht="12.95" customHeight="1" x14ac:dyDescent="0.2">
      <c r="A13" s="75">
        <v>3</v>
      </c>
      <c r="B13" s="76" t="s">
        <v>19</v>
      </c>
      <c r="C13" s="77" t="s">
        <v>26</v>
      </c>
      <c r="D13" s="77"/>
      <c r="E13" s="77"/>
      <c r="F13" s="78"/>
      <c r="G13" s="78"/>
      <c r="H13" s="78"/>
      <c r="I13" s="212"/>
      <c r="J13" s="78"/>
      <c r="K13" s="137">
        <v>1200000</v>
      </c>
      <c r="L13" s="31"/>
      <c r="M13" s="1"/>
    </row>
    <row r="14" spans="1:13" ht="12.95" customHeight="1" x14ac:dyDescent="0.2">
      <c r="A14" s="75">
        <v>3</v>
      </c>
      <c r="B14" s="76" t="s">
        <v>20</v>
      </c>
      <c r="C14" s="77" t="s">
        <v>27</v>
      </c>
      <c r="D14" s="77"/>
      <c r="E14" s="77"/>
      <c r="F14" s="78"/>
      <c r="G14" s="78"/>
      <c r="H14" s="78"/>
      <c r="I14" s="212"/>
      <c r="J14" s="78"/>
      <c r="K14" s="137">
        <v>1000000</v>
      </c>
      <c r="L14" s="31"/>
      <c r="M14" s="1"/>
    </row>
    <row r="15" spans="1:13" ht="12.95" customHeight="1" x14ac:dyDescent="0.2">
      <c r="A15" s="75">
        <v>3</v>
      </c>
      <c r="B15" s="76" t="s">
        <v>21</v>
      </c>
      <c r="C15" s="77" t="s">
        <v>28</v>
      </c>
      <c r="D15" s="77"/>
      <c r="E15" s="77"/>
      <c r="F15" s="78"/>
      <c r="G15" s="78"/>
      <c r="H15" s="78"/>
      <c r="I15" s="212"/>
      <c r="J15" s="78"/>
      <c r="K15" s="137">
        <v>1500000</v>
      </c>
      <c r="L15" s="31"/>
      <c r="M15" s="1"/>
    </row>
    <row r="16" spans="1:13" ht="12.95" customHeight="1" x14ac:dyDescent="0.2">
      <c r="A16" s="75">
        <v>3</v>
      </c>
      <c r="B16" s="76" t="s">
        <v>22</v>
      </c>
      <c r="C16" s="77" t="s">
        <v>31</v>
      </c>
      <c r="D16" s="77"/>
      <c r="E16" s="77"/>
      <c r="F16" s="78"/>
      <c r="G16" s="78"/>
      <c r="H16" s="78"/>
      <c r="I16" s="212"/>
      <c r="J16" s="78"/>
      <c r="K16" s="137">
        <v>600000</v>
      </c>
      <c r="L16" s="31"/>
      <c r="M16" s="1"/>
    </row>
    <row r="17" spans="1:13" ht="12.95" customHeight="1" x14ac:dyDescent="0.2">
      <c r="A17" s="75">
        <v>3</v>
      </c>
      <c r="B17" s="76" t="s">
        <v>23</v>
      </c>
      <c r="C17" s="77" t="s">
        <v>29</v>
      </c>
      <c r="D17" s="77"/>
      <c r="E17" s="77"/>
      <c r="F17" s="78"/>
      <c r="G17" s="78"/>
      <c r="H17" s="78"/>
      <c r="I17" s="212"/>
      <c r="J17" s="78"/>
      <c r="K17" s="137">
        <v>150000</v>
      </c>
      <c r="L17" s="31"/>
      <c r="M17" s="1"/>
    </row>
    <row r="18" spans="1:13" ht="12.95" customHeight="1" x14ac:dyDescent="0.2">
      <c r="A18" s="75">
        <v>3</v>
      </c>
      <c r="B18" s="76" t="s">
        <v>24</v>
      </c>
      <c r="C18" s="77" t="s">
        <v>30</v>
      </c>
      <c r="D18" s="77"/>
      <c r="E18" s="77"/>
      <c r="F18" s="78"/>
      <c r="G18" s="78"/>
      <c r="H18" s="78"/>
      <c r="I18" s="212"/>
      <c r="J18" s="78"/>
      <c r="K18" s="137">
        <v>0</v>
      </c>
      <c r="L18" s="31"/>
      <c r="M18" s="1"/>
    </row>
    <row r="19" spans="1:13" ht="12.95" customHeight="1" x14ac:dyDescent="0.2">
      <c r="A19" s="75">
        <v>3</v>
      </c>
      <c r="B19" s="76" t="s">
        <v>25</v>
      </c>
      <c r="C19" s="77" t="s">
        <v>8</v>
      </c>
      <c r="D19" s="77"/>
      <c r="E19" s="77"/>
      <c r="F19" s="78"/>
      <c r="G19" s="78"/>
      <c r="H19" s="78"/>
      <c r="I19" s="212"/>
      <c r="J19" s="78"/>
      <c r="K19" s="137">
        <v>300000</v>
      </c>
      <c r="L19" s="31"/>
      <c r="M19" s="1"/>
    </row>
    <row r="20" spans="1:13" ht="6.95" customHeight="1" x14ac:dyDescent="0.2">
      <c r="F20" s="60"/>
      <c r="G20" s="60"/>
      <c r="H20" s="60"/>
      <c r="I20" s="7"/>
      <c r="J20" s="60"/>
      <c r="K20" s="134"/>
      <c r="L20" s="139"/>
      <c r="M20" s="1"/>
    </row>
    <row r="21" spans="1:13" s="9" customFormat="1" ht="12.75" customHeight="1" x14ac:dyDescent="0.2">
      <c r="A21" s="67">
        <v>4</v>
      </c>
      <c r="B21" s="68"/>
      <c r="C21" s="69" t="s">
        <v>2</v>
      </c>
      <c r="D21" s="69"/>
      <c r="E21" s="69"/>
      <c r="F21" s="70"/>
      <c r="G21" s="70"/>
      <c r="H21" s="70"/>
      <c r="I21" s="210">
        <f>K21/$K$38</f>
        <v>0.20369999999999999</v>
      </c>
      <c r="J21" s="70"/>
      <c r="K21" s="135">
        <v>6000000</v>
      </c>
      <c r="L21" s="31"/>
    </row>
    <row r="22" spans="1:13" ht="6.95" customHeight="1" x14ac:dyDescent="0.2">
      <c r="A22" s="3"/>
      <c r="B22" s="5"/>
      <c r="F22" s="60"/>
      <c r="G22" s="60"/>
      <c r="H22" s="60"/>
      <c r="I22" s="7"/>
      <c r="J22" s="60"/>
      <c r="K22" s="134"/>
      <c r="L22" s="30"/>
      <c r="M22" s="1"/>
    </row>
    <row r="23" spans="1:13" s="10" customFormat="1" ht="12.95" customHeight="1" x14ac:dyDescent="0.2">
      <c r="A23" s="67">
        <v>5</v>
      </c>
      <c r="B23" s="68"/>
      <c r="C23" s="69" t="s">
        <v>9</v>
      </c>
      <c r="D23" s="69"/>
      <c r="E23" s="69"/>
      <c r="F23" s="70"/>
      <c r="G23" s="70"/>
      <c r="H23" s="70"/>
      <c r="I23" s="210">
        <f>K23/$K$38</f>
        <v>5.6000000000000001E-2</v>
      </c>
      <c r="J23" s="70"/>
      <c r="K23" s="136">
        <f>SUM(K24:K26)</f>
        <v>1650000</v>
      </c>
      <c r="L23" s="31"/>
    </row>
    <row r="24" spans="1:13" ht="12.95" customHeight="1" x14ac:dyDescent="0.2">
      <c r="A24" s="75">
        <v>5</v>
      </c>
      <c r="B24" s="77" t="s">
        <v>17</v>
      </c>
      <c r="C24" s="77" t="s">
        <v>85</v>
      </c>
      <c r="D24" s="77"/>
      <c r="E24" s="77"/>
      <c r="F24" s="78"/>
      <c r="G24" s="78"/>
      <c r="H24" s="78"/>
      <c r="I24" s="212"/>
      <c r="J24" s="78"/>
      <c r="K24" s="213">
        <v>600000</v>
      </c>
      <c r="L24" s="31"/>
      <c r="M24" s="1"/>
    </row>
    <row r="25" spans="1:13" ht="12.95" customHeight="1" x14ac:dyDescent="0.2">
      <c r="A25" s="75">
        <v>5</v>
      </c>
      <c r="B25" s="77" t="s">
        <v>19</v>
      </c>
      <c r="C25" s="77" t="s">
        <v>86</v>
      </c>
      <c r="D25" s="77"/>
      <c r="E25" s="77"/>
      <c r="F25" s="78"/>
      <c r="G25" s="78"/>
      <c r="H25" s="78"/>
      <c r="I25" s="212"/>
      <c r="J25" s="78"/>
      <c r="K25" s="213">
        <v>1000000</v>
      </c>
      <c r="L25" s="31"/>
      <c r="M25" s="1"/>
    </row>
    <row r="26" spans="1:13" ht="12.95" customHeight="1" x14ac:dyDescent="0.2">
      <c r="A26" s="75">
        <v>5</v>
      </c>
      <c r="B26" s="77" t="s">
        <v>20</v>
      </c>
      <c r="C26" s="77" t="s">
        <v>45</v>
      </c>
      <c r="D26" s="77"/>
      <c r="E26" s="77"/>
      <c r="F26" s="78"/>
      <c r="G26" s="78"/>
      <c r="H26" s="78"/>
      <c r="I26" s="212"/>
      <c r="J26" s="78"/>
      <c r="K26" s="213">
        <v>50000</v>
      </c>
      <c r="L26" s="31"/>
      <c r="M26" s="1"/>
    </row>
    <row r="27" spans="1:13" ht="6.95" customHeight="1" x14ac:dyDescent="0.2">
      <c r="F27" s="60"/>
      <c r="G27" s="60"/>
      <c r="H27" s="60"/>
      <c r="I27" s="7"/>
      <c r="J27" s="60"/>
      <c r="K27" s="134"/>
      <c r="L27" s="31"/>
      <c r="M27" s="1"/>
    </row>
    <row r="28" spans="1:13" s="9" customFormat="1" ht="12.95" customHeight="1" x14ac:dyDescent="0.2">
      <c r="A28" s="67">
        <v>6</v>
      </c>
      <c r="B28" s="68"/>
      <c r="C28" s="69" t="s">
        <v>3</v>
      </c>
      <c r="D28" s="69"/>
      <c r="E28" s="69"/>
      <c r="F28" s="70"/>
      <c r="G28" s="70"/>
      <c r="H28" s="70"/>
      <c r="I28" s="210">
        <f>K28/$K$38</f>
        <v>1.7000000000000001E-2</v>
      </c>
      <c r="J28" s="70"/>
      <c r="K28" s="135">
        <v>500000</v>
      </c>
      <c r="L28" s="31"/>
    </row>
    <row r="29" spans="1:13" ht="6.95" customHeight="1" x14ac:dyDescent="0.2">
      <c r="A29" s="12"/>
      <c r="B29" s="4"/>
      <c r="F29" s="62"/>
      <c r="G29" s="62"/>
      <c r="H29" s="62"/>
      <c r="I29" s="214"/>
      <c r="J29" s="62"/>
      <c r="K29" s="134"/>
      <c r="L29" s="31"/>
      <c r="M29" s="1"/>
    </row>
    <row r="30" spans="1:13" s="10" customFormat="1" ht="12.95" customHeight="1" x14ac:dyDescent="0.2">
      <c r="A30" s="67">
        <v>7</v>
      </c>
      <c r="B30" s="68"/>
      <c r="C30" s="69" t="s">
        <v>87</v>
      </c>
      <c r="D30" s="69"/>
      <c r="E30" s="69"/>
      <c r="F30" s="70"/>
      <c r="G30" s="70"/>
      <c r="H30" s="70"/>
      <c r="I30" s="210">
        <f>K30/$K$38</f>
        <v>0.16980000000000001</v>
      </c>
      <c r="J30" s="70"/>
      <c r="K30" s="135">
        <v>5000000</v>
      </c>
      <c r="L30" s="31"/>
    </row>
    <row r="31" spans="1:13" ht="6.95" customHeight="1" x14ac:dyDescent="0.2">
      <c r="F31" s="62"/>
      <c r="G31" s="62"/>
      <c r="H31" s="62"/>
      <c r="I31" s="214"/>
      <c r="J31" s="62"/>
      <c r="K31" s="134"/>
      <c r="L31" s="31"/>
      <c r="M31" s="1"/>
    </row>
    <row r="32" spans="1:13" s="10" customFormat="1" ht="12.95" customHeight="1" x14ac:dyDescent="0.2">
      <c r="A32" s="67">
        <v>8</v>
      </c>
      <c r="B32" s="68"/>
      <c r="C32" s="69" t="s">
        <v>67</v>
      </c>
      <c r="D32" s="69"/>
      <c r="E32" s="69"/>
      <c r="F32" s="70"/>
      <c r="G32" s="70"/>
      <c r="H32" s="70"/>
      <c r="I32" s="210">
        <f>K32/$K$38</f>
        <v>1.1999999999999999E-3</v>
      </c>
      <c r="J32" s="70"/>
      <c r="K32" s="135">
        <v>36000</v>
      </c>
      <c r="L32" s="31"/>
    </row>
    <row r="33" spans="1:13" ht="6.95" customHeight="1" x14ac:dyDescent="0.2">
      <c r="F33" s="62"/>
      <c r="G33" s="62"/>
      <c r="H33" s="62"/>
      <c r="I33" s="214"/>
      <c r="J33" s="62"/>
      <c r="K33" s="134"/>
      <c r="L33" s="139"/>
      <c r="M33" s="1"/>
    </row>
    <row r="34" spans="1:13" s="10" customFormat="1" ht="12.95" customHeight="1" x14ac:dyDescent="0.2">
      <c r="A34" s="67">
        <v>9</v>
      </c>
      <c r="B34" s="68"/>
      <c r="C34" s="69" t="s">
        <v>10</v>
      </c>
      <c r="D34" s="69"/>
      <c r="E34" s="69"/>
      <c r="F34" s="70"/>
      <c r="G34" s="70"/>
      <c r="H34" s="70"/>
      <c r="I34" s="210">
        <f>K34/$K$38</f>
        <v>5.4300000000000001E-2</v>
      </c>
      <c r="J34" s="70"/>
      <c r="K34" s="135">
        <v>1600000</v>
      </c>
      <c r="L34" s="31"/>
    </row>
    <row r="35" spans="1:13" ht="12" customHeight="1" x14ac:dyDescent="0.2">
      <c r="A35" s="12"/>
      <c r="B35" s="4"/>
      <c r="F35" s="29"/>
      <c r="G35" s="29"/>
      <c r="H35" s="29"/>
      <c r="I35" s="29"/>
      <c r="J35" s="29"/>
      <c r="K35" s="30"/>
      <c r="L35" s="1"/>
      <c r="M35" s="1"/>
    </row>
    <row r="36" spans="1:13" ht="15" customHeight="1" x14ac:dyDescent="0.25">
      <c r="A36" s="58" t="s">
        <v>69</v>
      </c>
      <c r="B36" s="54"/>
      <c r="C36" s="54"/>
      <c r="D36" s="54"/>
      <c r="E36" s="54"/>
      <c r="F36" s="63"/>
      <c r="G36" s="63"/>
      <c r="H36" s="63"/>
      <c r="I36" s="215">
        <f>SUM(I5:I32)</f>
        <v>0.9456</v>
      </c>
      <c r="J36" s="63"/>
      <c r="K36" s="82">
        <f>K9+K11+K21</f>
        <v>20650000</v>
      </c>
    </row>
    <row r="37" spans="1:13" ht="5.0999999999999996" customHeight="1" x14ac:dyDescent="0.25">
      <c r="E37" s="62"/>
    </row>
    <row r="38" spans="1:13" ht="15" customHeight="1" x14ac:dyDescent="0.25">
      <c r="A38" s="58" t="s">
        <v>12</v>
      </c>
      <c r="B38" s="54"/>
      <c r="C38" s="54"/>
      <c r="D38" s="54"/>
      <c r="E38" s="54"/>
      <c r="F38" s="63"/>
      <c r="G38" s="63"/>
      <c r="H38" s="63"/>
      <c r="I38" s="121">
        <f>SUM(I7:I34)</f>
        <v>1</v>
      </c>
      <c r="J38" s="63"/>
      <c r="K38" s="82">
        <f>SUM(K7+K9+K11+K21+K23+K28+K30+K32+K34)</f>
        <v>29451000</v>
      </c>
      <c r="L38" s="20"/>
      <c r="M38" s="1"/>
    </row>
    <row r="39" spans="1:13" ht="12.75" customHeight="1" x14ac:dyDescent="0.25">
      <c r="E39" s="62"/>
    </row>
    <row r="40" spans="1:13" ht="12.75" customHeight="1" x14ac:dyDescent="0.25">
      <c r="A40" s="201" t="s">
        <v>80</v>
      </c>
      <c r="B40" s="202"/>
      <c r="C40" s="203" t="s">
        <v>81</v>
      </c>
      <c r="D40" s="203"/>
      <c r="E40" s="203"/>
      <c r="F40" s="204"/>
      <c r="G40" s="203"/>
      <c r="H40" s="136"/>
      <c r="I40" s="203"/>
      <c r="J40" s="136"/>
      <c r="K40" s="203"/>
      <c r="L40" s="205"/>
    </row>
    <row r="41" spans="1:13" ht="12.75" customHeight="1" x14ac:dyDescent="0.25">
      <c r="A41" s="3"/>
      <c r="B41" s="4"/>
      <c r="C41" s="1" t="s">
        <v>82</v>
      </c>
      <c r="G41" s="285">
        <v>2000</v>
      </c>
      <c r="H41" s="285"/>
      <c r="I41" s="285"/>
      <c r="K41" s="1"/>
      <c r="L41" s="8"/>
    </row>
    <row r="42" spans="1:13" ht="12.75" customHeight="1" x14ac:dyDescent="0.25">
      <c r="A42" s="206"/>
      <c r="B42" s="207"/>
      <c r="C42" s="208" t="s">
        <v>83</v>
      </c>
      <c r="D42" s="208"/>
      <c r="E42" s="208"/>
      <c r="F42" s="209"/>
      <c r="G42" s="286">
        <v>75</v>
      </c>
      <c r="H42" s="286"/>
      <c r="I42" s="286"/>
      <c r="K42" s="1"/>
      <c r="L42" s="8"/>
    </row>
    <row r="43" spans="1:13" ht="12.95" customHeight="1" x14ac:dyDescent="0.25">
      <c r="A43" s="3"/>
      <c r="B43" s="4"/>
      <c r="C43" s="1" t="s">
        <v>84</v>
      </c>
      <c r="G43" s="287">
        <f>G41*G42</f>
        <v>150000</v>
      </c>
      <c r="H43" s="287"/>
      <c r="I43" s="287"/>
      <c r="K43" s="1"/>
      <c r="L43" s="8"/>
    </row>
    <row r="44" spans="1:13" ht="29.25" customHeight="1" x14ac:dyDescent="0.25">
      <c r="E44" s="62"/>
    </row>
    <row r="45" spans="1:13" s="34" customFormat="1" ht="12.75" customHeight="1" x14ac:dyDescent="0.25">
      <c r="A45" s="94" t="s">
        <v>88</v>
      </c>
      <c r="B45" s="6"/>
      <c r="F45" s="35"/>
      <c r="G45" s="35"/>
      <c r="H45" s="35"/>
      <c r="I45" s="35"/>
      <c r="J45" s="35"/>
      <c r="K45" s="37"/>
      <c r="L45" s="36"/>
      <c r="M45" s="36"/>
    </row>
    <row r="46" spans="1:13" s="9" customFormat="1" ht="4.5" customHeight="1" x14ac:dyDescent="0.25">
      <c r="A46" s="65"/>
      <c r="B46" s="65"/>
      <c r="C46" s="65"/>
      <c r="D46" s="65"/>
      <c r="E46" s="65"/>
      <c r="F46" s="65"/>
      <c r="G46" s="65"/>
      <c r="H46" s="65"/>
      <c r="I46" s="65"/>
      <c r="J46" s="65"/>
      <c r="K46" s="66"/>
    </row>
    <row r="47" spans="1:13" s="9" customFormat="1" ht="4.5" customHeight="1" x14ac:dyDescent="0.25">
      <c r="K47" s="2"/>
    </row>
    <row r="48" spans="1:13" s="9" customFormat="1" ht="12.75" customHeight="1" x14ac:dyDescent="0.25">
      <c r="G48" s="138" t="s">
        <v>89</v>
      </c>
      <c r="H48" s="164"/>
      <c r="I48" s="164" t="s">
        <v>90</v>
      </c>
      <c r="J48" s="114"/>
      <c r="K48" s="2"/>
    </row>
    <row r="49" spans="1:13" s="9" customFormat="1" ht="4.5" customHeight="1" x14ac:dyDescent="0.25">
      <c r="F49" s="110"/>
      <c r="G49" s="110"/>
      <c r="H49" s="110"/>
      <c r="K49" s="2"/>
    </row>
    <row r="50" spans="1:13" ht="4.5" customHeight="1" x14ac:dyDescent="0.25">
      <c r="A50" s="3"/>
      <c r="B50" s="5"/>
      <c r="E50" s="60"/>
      <c r="F50" s="60"/>
      <c r="G50" s="7"/>
      <c r="H50" s="60"/>
      <c r="I50" s="165"/>
      <c r="J50" s="141"/>
      <c r="K50" s="103"/>
    </row>
    <row r="51" spans="1:13" s="10" customFormat="1" ht="12.95" customHeight="1" x14ac:dyDescent="0.2">
      <c r="A51" s="105" t="s">
        <v>99</v>
      </c>
      <c r="B51" s="106"/>
      <c r="C51" s="107"/>
      <c r="D51" s="107"/>
      <c r="E51" s="70"/>
      <c r="F51" s="70"/>
      <c r="G51" s="210">
        <f>K51/$K$36</f>
        <v>1.4E-3</v>
      </c>
      <c r="H51" s="210"/>
      <c r="I51" s="216">
        <f>K51/$K$38</f>
        <v>1E-3</v>
      </c>
      <c r="J51" s="140"/>
      <c r="K51" s="108">
        <f>'BPH-Thermisch'!I82</f>
        <v>28178</v>
      </c>
      <c r="L51" s="28"/>
    </row>
    <row r="52" spans="1:13" ht="4.5" customHeight="1" x14ac:dyDescent="0.25">
      <c r="A52" s="34"/>
      <c r="B52" s="34"/>
      <c r="E52" s="62"/>
      <c r="F52" s="62"/>
      <c r="G52" s="120"/>
      <c r="H52" s="62"/>
      <c r="I52" s="166"/>
      <c r="J52" s="141"/>
      <c r="K52" s="102"/>
      <c r="L52" s="20"/>
    </row>
    <row r="53" spans="1:13" s="10" customFormat="1" ht="12.95" customHeight="1" x14ac:dyDescent="0.2">
      <c r="A53" s="105" t="s">
        <v>100</v>
      </c>
      <c r="B53" s="106"/>
      <c r="C53" s="107"/>
      <c r="D53" s="107"/>
      <c r="E53" s="70"/>
      <c r="F53" s="70"/>
      <c r="G53" s="210">
        <f>K53/$K$36</f>
        <v>1.1999999999999999E-3</v>
      </c>
      <c r="H53" s="210"/>
      <c r="I53" s="216">
        <f>K53/$K$38</f>
        <v>8.9999999999999998E-4</v>
      </c>
      <c r="J53" s="140"/>
      <c r="K53" s="108">
        <f>'BPH-Schallschutz'!I82</f>
        <v>25681</v>
      </c>
      <c r="L53" s="20"/>
    </row>
    <row r="54" spans="1:13" ht="4.5" customHeight="1" x14ac:dyDescent="0.25">
      <c r="A54" s="34"/>
      <c r="B54" s="34"/>
      <c r="G54" s="167"/>
      <c r="I54" s="166"/>
      <c r="J54" s="141"/>
      <c r="K54" s="104"/>
      <c r="L54" s="20"/>
    </row>
    <row r="55" spans="1:13" s="10" customFormat="1" ht="12.95" customHeight="1" x14ac:dyDescent="0.2">
      <c r="A55" s="105" t="s">
        <v>101</v>
      </c>
      <c r="B55" s="106"/>
      <c r="C55" s="107"/>
      <c r="D55" s="107"/>
      <c r="E55" s="70"/>
      <c r="F55" s="70"/>
      <c r="G55" s="210">
        <f>K55/$K$36</f>
        <v>2.9999999999999997E-4</v>
      </c>
      <c r="H55" s="210"/>
      <c r="I55" s="216">
        <f>K55/$K$38</f>
        <v>2.0000000000000001E-4</v>
      </c>
      <c r="J55" s="140"/>
      <c r="K55" s="108">
        <f>'BPH-Raumakustik'!I83</f>
        <v>5855</v>
      </c>
    </row>
    <row r="56" spans="1:13" ht="4.5" customHeight="1" x14ac:dyDescent="0.25">
      <c r="A56" s="3"/>
      <c r="B56" s="5"/>
      <c r="E56" s="60"/>
      <c r="F56" s="60"/>
      <c r="G56" s="7"/>
      <c r="H56" s="7"/>
      <c r="I56" s="217"/>
      <c r="J56" s="141"/>
      <c r="K56" s="102"/>
    </row>
    <row r="57" spans="1:13" s="218" customFormat="1" ht="12.95" customHeight="1" x14ac:dyDescent="0.2">
      <c r="A57" s="105" t="s">
        <v>120</v>
      </c>
      <c r="B57" s="106"/>
      <c r="C57" s="107"/>
      <c r="D57" s="107"/>
      <c r="E57" s="70"/>
      <c r="F57" s="70"/>
      <c r="G57" s="210">
        <f>K57/$K$36</f>
        <v>1.6999999999999999E-3</v>
      </c>
      <c r="H57" s="210"/>
      <c r="I57" s="216">
        <f>K57/$K$38</f>
        <v>1.1999999999999999E-3</v>
      </c>
      <c r="J57" s="140"/>
      <c r="K57" s="108">
        <f>Nachhaltigkeit!I87</f>
        <v>35481</v>
      </c>
    </row>
    <row r="58" spans="1:13" ht="12.75" customHeight="1" x14ac:dyDescent="0.25">
      <c r="K58" s="142"/>
    </row>
    <row r="59" spans="1:13" s="21" customFormat="1" ht="12.75" x14ac:dyDescent="0.2">
      <c r="A59" s="86" t="s">
        <v>70</v>
      </c>
      <c r="B59" s="87"/>
      <c r="C59" s="88"/>
      <c r="D59" s="88"/>
      <c r="E59" s="90"/>
      <c r="F59" s="90"/>
      <c r="G59" s="90"/>
      <c r="H59" s="90"/>
      <c r="I59" s="113"/>
      <c r="J59" s="113"/>
      <c r="K59" s="91">
        <f>SUM(K51:K57)</f>
        <v>95195</v>
      </c>
      <c r="L59" s="52"/>
      <c r="M59" s="53"/>
    </row>
    <row r="60" spans="1:13" s="21" customFormat="1" ht="4.5" customHeight="1" x14ac:dyDescent="0.2">
      <c r="A60" s="22"/>
      <c r="B60" s="23"/>
      <c r="C60" s="23"/>
      <c r="D60" s="40"/>
      <c r="E60" s="41"/>
      <c r="F60" s="41"/>
      <c r="G60" s="41"/>
      <c r="H60" s="41"/>
      <c r="I60" s="42"/>
      <c r="J60" s="42"/>
      <c r="K60" s="83"/>
      <c r="M60" s="23"/>
    </row>
    <row r="61" spans="1:13" s="21" customFormat="1" ht="12.75" x14ac:dyDescent="0.2">
      <c r="A61" s="43" t="s">
        <v>13</v>
      </c>
      <c r="B61" s="22"/>
      <c r="C61" s="23"/>
      <c r="D61" s="23"/>
      <c r="E61" s="41"/>
      <c r="F61" s="41"/>
      <c r="G61" s="41"/>
      <c r="H61" s="41"/>
      <c r="I61" s="109"/>
      <c r="J61" s="109"/>
      <c r="K61" s="84">
        <f>'BPH-Thermisch'!I84+'BPH-Schallschutz'!I84+'BPH-Raumakustik'!I85+Nachhaltigkeit!I89</f>
        <v>3807</v>
      </c>
      <c r="L61" s="43"/>
      <c r="M61" s="23"/>
    </row>
    <row r="62" spans="1:13" s="21" customFormat="1" ht="3" customHeight="1" x14ac:dyDescent="0.2">
      <c r="A62" s="44"/>
      <c r="B62" s="45"/>
      <c r="C62" s="46"/>
      <c r="D62" s="46"/>
      <c r="E62" s="49"/>
      <c r="F62" s="49"/>
      <c r="G62" s="49"/>
      <c r="H62" s="49"/>
      <c r="I62" s="111"/>
      <c r="J62" s="111"/>
      <c r="K62" s="85"/>
      <c r="M62" s="23"/>
    </row>
    <row r="63" spans="1:13" s="21" customFormat="1" ht="3" customHeight="1" x14ac:dyDescent="0.2">
      <c r="A63" s="22"/>
      <c r="B63" s="23"/>
      <c r="C63" s="23"/>
      <c r="D63" s="50"/>
      <c r="E63" s="50"/>
      <c r="F63" s="50"/>
      <c r="G63" s="50"/>
      <c r="H63" s="50"/>
      <c r="I63" s="112"/>
      <c r="J63" s="115"/>
      <c r="K63" s="83"/>
      <c r="M63" s="23"/>
    </row>
    <row r="64" spans="1:13" s="21" customFormat="1" ht="12.75" x14ac:dyDescent="0.2">
      <c r="A64" s="47" t="s">
        <v>71</v>
      </c>
      <c r="B64" s="48"/>
      <c r="C64" s="48"/>
      <c r="D64" s="24"/>
      <c r="E64" s="24"/>
      <c r="F64" s="126"/>
      <c r="G64" s="126"/>
      <c r="H64" s="124"/>
      <c r="I64" s="125"/>
      <c r="J64" s="115"/>
      <c r="K64" s="84">
        <f>K59+K61</f>
        <v>99002</v>
      </c>
      <c r="L64" s="47"/>
      <c r="M64" s="48"/>
    </row>
    <row r="65" spans="1:13" s="21" customFormat="1" ht="4.5" customHeight="1" x14ac:dyDescent="0.2">
      <c r="B65" s="48"/>
      <c r="C65" s="48"/>
      <c r="D65" s="24"/>
      <c r="E65" s="24"/>
      <c r="F65" s="24"/>
      <c r="G65" s="24"/>
      <c r="H65" s="24"/>
      <c r="I65" s="42"/>
      <c r="J65" s="42"/>
      <c r="K65" s="84"/>
      <c r="L65" s="47"/>
      <c r="M65" s="48"/>
    </row>
    <row r="66" spans="1:13" s="21" customFormat="1" ht="12.75" x14ac:dyDescent="0.2">
      <c r="A66" s="21" t="s">
        <v>14</v>
      </c>
      <c r="C66" s="23"/>
      <c r="D66" s="24"/>
      <c r="E66" s="24"/>
      <c r="F66" s="24"/>
      <c r="G66" s="24"/>
      <c r="H66" s="24"/>
      <c r="I66" s="109">
        <v>0.2</v>
      </c>
      <c r="J66" s="109"/>
      <c r="K66" s="84">
        <f>ROUND(K64*I66,2)</f>
        <v>19800</v>
      </c>
      <c r="M66" s="25"/>
    </row>
    <row r="67" spans="1:13" s="21" customFormat="1" ht="3" customHeight="1" x14ac:dyDescent="0.2">
      <c r="B67" s="23"/>
      <c r="C67" s="23"/>
      <c r="D67" s="24"/>
      <c r="E67" s="24"/>
      <c r="F67" s="24"/>
      <c r="G67" s="24"/>
      <c r="H67" s="24"/>
      <c r="I67" s="42"/>
      <c r="J67" s="42"/>
      <c r="K67" s="83"/>
      <c r="M67" s="23"/>
    </row>
    <row r="68" spans="1:13" s="21" customFormat="1" ht="12.75" x14ac:dyDescent="0.2">
      <c r="A68" s="182" t="s">
        <v>72</v>
      </c>
      <c r="B68" s="183"/>
      <c r="C68" s="183"/>
      <c r="D68" s="184"/>
      <c r="E68" s="185"/>
      <c r="F68" s="185"/>
      <c r="G68" s="185"/>
      <c r="H68" s="185"/>
      <c r="I68" s="186"/>
      <c r="J68" s="186"/>
      <c r="K68" s="187">
        <f>SUM(K65:K66)</f>
        <v>19800</v>
      </c>
      <c r="L68" s="47"/>
      <c r="M68" s="48"/>
    </row>
    <row r="69" spans="1:13" s="21" customFormat="1" ht="5.0999999999999996" customHeight="1" x14ac:dyDescent="0.2">
      <c r="B69" s="23"/>
      <c r="C69" s="23"/>
      <c r="D69" s="40"/>
      <c r="E69" s="41"/>
      <c r="F69" s="41"/>
      <c r="G69" s="41"/>
      <c r="H69" s="41"/>
      <c r="I69" s="42"/>
      <c r="J69" s="42"/>
      <c r="K69" s="83"/>
      <c r="M69" s="23"/>
    </row>
    <row r="70" spans="1:13" x14ac:dyDescent="0.25">
      <c r="A70" s="188" t="s">
        <v>75</v>
      </c>
      <c r="C70" s="6"/>
      <c r="H70" s="288">
        <f>K64/_1_9</f>
        <v>3.362E-3</v>
      </c>
      <c r="I70" s="288"/>
      <c r="J70" s="8"/>
    </row>
  </sheetData>
  <sheetProtection algorithmName="SHA-512" hashValue="ePWKjS89RCRjC6u3kPmSQb9ENJ4VKcmZBJPEuWspvqPcp64lN9jBYgvL22fj+c1VIPXXbuzeiFnzWGywf9oRMg==" saltValue="jHS9WJShCJwrbFkZeVdU2g==" spinCount="100000" sheet="1" objects="1" scenarios="1"/>
  <mergeCells count="4">
    <mergeCell ref="G41:I41"/>
    <mergeCell ref="G42:I42"/>
    <mergeCell ref="G43:I43"/>
    <mergeCell ref="H70:I70"/>
  </mergeCells>
  <pageMargins left="0.70866141732283472" right="0.70866141732283472" top="0.74803149606299213" bottom="0.74803149606299213" header="0.31496062992125984" footer="0.31496062992125984"/>
  <pageSetup paperSize="9" scale="72" fitToHeight="2" pageOrder="overThenDown" orientation="portrait" r:id="rId1"/>
  <headerFooter>
    <oddHeader>&amp;L&amp;"Arial,Fett"&amp;K01+029Angebot Bauphysik + Nachhaltigkeit BPH-&amp;A
&amp;"Arial,Standard"nach VM.BP.2023&amp;R&amp;"Arial,Standard"&amp;K01+030Version 1
Stand: 15.09.2023</oddHeader>
    <oddFooter>&amp;L&amp;"Arial,Fett"&amp;K01+039LM.VM.2023 &amp;"Arial,Standard" |  Bauphysik &amp;A  |  Angebotsformular&amp;R&amp;"Arial,Standard"&amp;K01+039&amp;P/&amp;N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1"/>
  <dimension ref="A1:M92"/>
  <sheetViews>
    <sheetView showGridLines="0" zoomScaleNormal="100" zoomScaleSheetLayoutView="100" zoomScalePageLayoutView="85" workbookViewId="0">
      <selection activeCell="K53" sqref="K53"/>
    </sheetView>
  </sheetViews>
  <sheetFormatPr baseColWidth="10" defaultColWidth="11.5703125" defaultRowHeight="12" x14ac:dyDescent="0.2"/>
  <cols>
    <col min="1" max="1" width="1.5703125" style="1" customWidth="1"/>
    <col min="2" max="2" width="3.28515625" style="6" customWidth="1"/>
    <col min="3" max="3" width="38.7109375" style="1" customWidth="1"/>
    <col min="4" max="4" width="8.140625" style="1" customWidth="1"/>
    <col min="5" max="5" width="14.7109375" style="1" customWidth="1"/>
    <col min="6" max="6" width="15.7109375" style="1" customWidth="1"/>
    <col min="7" max="7" width="8.28515625" style="1" customWidth="1"/>
    <col min="8" max="8" width="14.7109375" style="7" customWidth="1" collapsed="1"/>
    <col min="9" max="9" width="15.7109375" style="8" customWidth="1"/>
    <col min="10" max="10" width="2.7109375" style="8" customWidth="1"/>
    <col min="11" max="16384" width="11.5703125" style="1"/>
  </cols>
  <sheetData>
    <row r="1" spans="1:10" ht="5.0999999999999996" customHeight="1" x14ac:dyDescent="0.2"/>
    <row r="2" spans="1:10" s="34" customFormat="1" ht="35.1" customHeight="1" x14ac:dyDescent="0.2">
      <c r="A2" s="94" t="s">
        <v>73</v>
      </c>
      <c r="B2" s="6"/>
      <c r="F2" s="35"/>
      <c r="G2" s="35"/>
      <c r="H2" s="290" t="s">
        <v>113</v>
      </c>
      <c r="I2" s="290"/>
      <c r="J2" s="37"/>
    </row>
    <row r="3" spans="1:10" s="9" customFormat="1" ht="6" customHeight="1" x14ac:dyDescent="0.25">
      <c r="A3" s="65"/>
      <c r="B3" s="65"/>
      <c r="C3" s="65"/>
      <c r="D3" s="65"/>
      <c r="E3" s="65"/>
      <c r="F3" s="65"/>
      <c r="G3" s="65"/>
      <c r="H3" s="65"/>
      <c r="I3" s="66"/>
      <c r="J3" s="2"/>
    </row>
    <row r="4" spans="1:10" s="9" customFormat="1" ht="6" customHeight="1" x14ac:dyDescent="0.25">
      <c r="I4" s="2"/>
      <c r="J4" s="2"/>
    </row>
    <row r="5" spans="1:10" s="9" customFormat="1" ht="12.95" customHeight="1" x14ac:dyDescent="0.25">
      <c r="D5" s="61" t="s">
        <v>61</v>
      </c>
      <c r="E5" s="28" t="s">
        <v>43</v>
      </c>
      <c r="G5" s="28"/>
      <c r="H5" s="11" t="s">
        <v>16</v>
      </c>
      <c r="I5" s="81" t="s">
        <v>44</v>
      </c>
      <c r="J5" s="28"/>
    </row>
    <row r="6" spans="1:10" s="9" customFormat="1" ht="6" customHeight="1" x14ac:dyDescent="0.25">
      <c r="E6" s="59"/>
      <c r="I6" s="2"/>
      <c r="J6" s="2"/>
    </row>
    <row r="7" spans="1:10" s="10" customFormat="1" ht="12.95" customHeight="1" x14ac:dyDescent="0.2">
      <c r="A7" s="291">
        <v>1</v>
      </c>
      <c r="B7" s="291"/>
      <c r="C7" s="69" t="s">
        <v>0</v>
      </c>
      <c r="D7" s="116">
        <f>E7/$E$33</f>
        <v>1E-3</v>
      </c>
      <c r="E7" s="130">
        <f>_1</f>
        <v>15000</v>
      </c>
      <c r="F7" s="64"/>
      <c r="G7" s="64"/>
      <c r="H7" s="95">
        <v>0</v>
      </c>
      <c r="I7" s="130">
        <f>E7*H7</f>
        <v>0</v>
      </c>
      <c r="J7" s="31"/>
    </row>
    <row r="8" spans="1:10" ht="6.95" customHeight="1" x14ac:dyDescent="0.2">
      <c r="B8" s="5"/>
      <c r="D8" s="117"/>
      <c r="E8" s="103"/>
      <c r="H8" s="92"/>
      <c r="I8" s="103"/>
      <c r="J8" s="38"/>
    </row>
    <row r="9" spans="1:10" s="10" customFormat="1" ht="12.95" customHeight="1" x14ac:dyDescent="0.2">
      <c r="A9" s="291">
        <v>2</v>
      </c>
      <c r="B9" s="291"/>
      <c r="C9" s="69" t="s">
        <v>1</v>
      </c>
      <c r="D9" s="116">
        <f>E9/$E$33</f>
        <v>0.30599999999999999</v>
      </c>
      <c r="E9" s="130">
        <f>_2</f>
        <v>9000000</v>
      </c>
      <c r="F9" s="64"/>
      <c r="G9" s="64"/>
      <c r="H9" s="96">
        <v>1</v>
      </c>
      <c r="I9" s="130">
        <f>E9*H9</f>
        <v>9000000</v>
      </c>
      <c r="J9" s="31"/>
    </row>
    <row r="10" spans="1:10" ht="6.95" customHeight="1" x14ac:dyDescent="0.2">
      <c r="D10" s="117"/>
      <c r="E10" s="221"/>
      <c r="H10" s="92"/>
      <c r="I10" s="102"/>
      <c r="J10" s="31"/>
    </row>
    <row r="11" spans="1:10" s="9" customFormat="1" ht="12.75" customHeight="1" x14ac:dyDescent="0.2">
      <c r="A11" s="291">
        <v>3</v>
      </c>
      <c r="B11" s="291"/>
      <c r="C11" s="69" t="s">
        <v>7</v>
      </c>
      <c r="D11" s="116">
        <f>E11/$E$33</f>
        <v>0.192</v>
      </c>
      <c r="E11" s="131">
        <f>_3</f>
        <v>5650000</v>
      </c>
      <c r="F11" s="64"/>
      <c r="G11" s="64"/>
      <c r="H11" s="92"/>
      <c r="I11" s="102"/>
      <c r="J11" s="31"/>
    </row>
    <row r="12" spans="1:10" ht="12.95" customHeight="1" x14ac:dyDescent="0.2">
      <c r="A12" s="266">
        <v>3</v>
      </c>
      <c r="B12" s="72" t="s">
        <v>17</v>
      </c>
      <c r="C12" s="73" t="s">
        <v>18</v>
      </c>
      <c r="D12" s="118"/>
      <c r="E12" s="127">
        <f>_3.01</f>
        <v>900000</v>
      </c>
      <c r="F12" s="64"/>
      <c r="G12" s="64"/>
      <c r="H12" s="96">
        <v>1</v>
      </c>
      <c r="I12" s="132">
        <f t="shared" ref="I12:I19" si="0">E12*H12</f>
        <v>900000</v>
      </c>
      <c r="J12" s="31"/>
    </row>
    <row r="13" spans="1:10" ht="12.95" customHeight="1" x14ac:dyDescent="0.2">
      <c r="A13" s="267">
        <v>3</v>
      </c>
      <c r="B13" s="76" t="s">
        <v>19</v>
      </c>
      <c r="C13" s="77" t="s">
        <v>26</v>
      </c>
      <c r="D13" s="119"/>
      <c r="E13" s="128">
        <f>_3.02</f>
        <v>1200000</v>
      </c>
      <c r="F13" s="64"/>
      <c r="G13" s="64"/>
      <c r="H13" s="96">
        <v>1</v>
      </c>
      <c r="I13" s="168">
        <f t="shared" si="0"/>
        <v>1200000</v>
      </c>
      <c r="J13" s="31"/>
    </row>
    <row r="14" spans="1:10" ht="12.95" customHeight="1" x14ac:dyDescent="0.2">
      <c r="A14" s="267">
        <v>3</v>
      </c>
      <c r="B14" s="76" t="s">
        <v>20</v>
      </c>
      <c r="C14" s="77" t="s">
        <v>27</v>
      </c>
      <c r="D14" s="119"/>
      <c r="E14" s="129">
        <f>_3.03</f>
        <v>1000000</v>
      </c>
      <c r="F14" s="64"/>
      <c r="G14" s="64"/>
      <c r="H14" s="96">
        <v>1</v>
      </c>
      <c r="I14" s="168">
        <f t="shared" si="0"/>
        <v>1000000</v>
      </c>
      <c r="J14" s="31"/>
    </row>
    <row r="15" spans="1:10" ht="12.95" customHeight="1" x14ac:dyDescent="0.2">
      <c r="A15" s="267">
        <v>3</v>
      </c>
      <c r="B15" s="76" t="s">
        <v>21</v>
      </c>
      <c r="C15" s="77" t="s">
        <v>28</v>
      </c>
      <c r="D15" s="119"/>
      <c r="E15" s="129">
        <f>_3.04</f>
        <v>1500000</v>
      </c>
      <c r="F15" s="64"/>
      <c r="G15" s="64"/>
      <c r="H15" s="96">
        <v>1</v>
      </c>
      <c r="I15" s="168">
        <f t="shared" si="0"/>
        <v>1500000</v>
      </c>
      <c r="J15" s="31"/>
    </row>
    <row r="16" spans="1:10" ht="12.95" customHeight="1" x14ac:dyDescent="0.2">
      <c r="A16" s="267">
        <v>3</v>
      </c>
      <c r="B16" s="76" t="s">
        <v>22</v>
      </c>
      <c r="C16" s="77" t="s">
        <v>31</v>
      </c>
      <c r="D16" s="119"/>
      <c r="E16" s="129">
        <f>_3.05</f>
        <v>600000</v>
      </c>
      <c r="F16" s="64"/>
      <c r="G16" s="64"/>
      <c r="H16" s="96">
        <v>1</v>
      </c>
      <c r="I16" s="168">
        <f t="shared" si="0"/>
        <v>600000</v>
      </c>
      <c r="J16" s="31"/>
    </row>
    <row r="17" spans="1:10" ht="12.95" customHeight="1" x14ac:dyDescent="0.2">
      <c r="A17" s="267">
        <v>3</v>
      </c>
      <c r="B17" s="76" t="s">
        <v>23</v>
      </c>
      <c r="C17" s="77" t="s">
        <v>29</v>
      </c>
      <c r="D17" s="119"/>
      <c r="E17" s="129">
        <f>_3.06</f>
        <v>150000</v>
      </c>
      <c r="F17" s="64"/>
      <c r="G17" s="64"/>
      <c r="H17" s="96">
        <v>1</v>
      </c>
      <c r="I17" s="168">
        <f t="shared" si="0"/>
        <v>150000</v>
      </c>
      <c r="J17" s="31"/>
    </row>
    <row r="18" spans="1:10" ht="12.95" customHeight="1" x14ac:dyDescent="0.2">
      <c r="A18" s="267">
        <v>3</v>
      </c>
      <c r="B18" s="76" t="s">
        <v>24</v>
      </c>
      <c r="C18" s="77" t="s">
        <v>30</v>
      </c>
      <c r="D18" s="119"/>
      <c r="E18" s="129">
        <f>_3.07</f>
        <v>0</v>
      </c>
      <c r="F18" s="64"/>
      <c r="G18" s="64"/>
      <c r="H18" s="96">
        <v>0</v>
      </c>
      <c r="I18" s="168">
        <f t="shared" si="0"/>
        <v>0</v>
      </c>
      <c r="J18" s="31"/>
    </row>
    <row r="19" spans="1:10" ht="12.95" customHeight="1" x14ac:dyDescent="0.2">
      <c r="A19" s="267">
        <v>3</v>
      </c>
      <c r="B19" s="76" t="s">
        <v>25</v>
      </c>
      <c r="C19" s="77" t="s">
        <v>8</v>
      </c>
      <c r="D19" s="119"/>
      <c r="E19" s="129">
        <f>_3.08</f>
        <v>300000</v>
      </c>
      <c r="F19" s="64"/>
      <c r="G19" s="64"/>
      <c r="H19" s="96">
        <v>1</v>
      </c>
      <c r="I19" s="169">
        <f t="shared" si="0"/>
        <v>300000</v>
      </c>
      <c r="J19" s="31"/>
    </row>
    <row r="20" spans="1:10" ht="6.95" customHeight="1" x14ac:dyDescent="0.2">
      <c r="D20" s="117"/>
      <c r="E20" s="102"/>
      <c r="H20" s="97"/>
      <c r="I20" s="102"/>
      <c r="J20" s="139"/>
    </row>
    <row r="21" spans="1:10" s="9" customFormat="1" ht="12.75" customHeight="1" x14ac:dyDescent="0.2">
      <c r="A21" s="291">
        <v>4</v>
      </c>
      <c r="B21" s="291"/>
      <c r="C21" s="69" t="s">
        <v>2</v>
      </c>
      <c r="D21" s="116">
        <f>E21/$E$33</f>
        <v>0.20399999999999999</v>
      </c>
      <c r="E21" s="130">
        <f>_4</f>
        <v>6000000</v>
      </c>
      <c r="F21" s="64"/>
      <c r="G21" s="64"/>
      <c r="H21" s="96">
        <v>1</v>
      </c>
      <c r="I21" s="130">
        <f>E21*H21</f>
        <v>6000000</v>
      </c>
      <c r="J21" s="31"/>
    </row>
    <row r="22" spans="1:10" ht="6.95" customHeight="1" x14ac:dyDescent="0.2">
      <c r="B22" s="5"/>
      <c r="D22" s="117"/>
      <c r="E22" s="102"/>
      <c r="H22" s="92"/>
      <c r="I22" s="102"/>
      <c r="J22" s="30"/>
    </row>
    <row r="23" spans="1:10" s="10" customFormat="1" ht="12.95" customHeight="1" x14ac:dyDescent="0.2">
      <c r="A23" s="291">
        <v>5</v>
      </c>
      <c r="B23" s="291"/>
      <c r="C23" s="69" t="s">
        <v>9</v>
      </c>
      <c r="D23" s="116">
        <f>E23/$E$33</f>
        <v>5.6000000000000001E-2</v>
      </c>
      <c r="E23" s="132">
        <f>_5</f>
        <v>1650000</v>
      </c>
      <c r="F23" s="64"/>
      <c r="G23" s="64"/>
      <c r="H23" s="96">
        <v>0</v>
      </c>
      <c r="I23" s="130">
        <f>E23*H23</f>
        <v>0</v>
      </c>
      <c r="J23" s="31"/>
    </row>
    <row r="24" spans="1:10" ht="6.95" customHeight="1" x14ac:dyDescent="0.2">
      <c r="D24" s="117"/>
      <c r="E24" s="102"/>
      <c r="H24" s="92"/>
      <c r="I24" s="102"/>
      <c r="J24" s="31"/>
    </row>
    <row r="25" spans="1:10" s="9" customFormat="1" ht="12.95" customHeight="1" x14ac:dyDescent="0.2">
      <c r="A25" s="291">
        <v>6</v>
      </c>
      <c r="B25" s="291"/>
      <c r="C25" s="69" t="s">
        <v>3</v>
      </c>
      <c r="D25" s="116">
        <f>E25/$E$33</f>
        <v>1.7000000000000001E-2</v>
      </c>
      <c r="E25" s="130">
        <f>_6</f>
        <v>500000</v>
      </c>
      <c r="F25" s="64"/>
      <c r="G25" s="64"/>
      <c r="H25" s="96">
        <v>0</v>
      </c>
      <c r="I25" s="130">
        <f>E25*H25</f>
        <v>0</v>
      </c>
      <c r="J25" s="31"/>
    </row>
    <row r="26" spans="1:10" ht="6.95" customHeight="1" x14ac:dyDescent="0.2">
      <c r="B26" s="4"/>
      <c r="D26" s="120"/>
      <c r="E26" s="102"/>
      <c r="H26" s="92"/>
      <c r="I26" s="102"/>
      <c r="J26" s="31"/>
    </row>
    <row r="27" spans="1:10" s="10" customFormat="1" ht="12.95" customHeight="1" x14ac:dyDescent="0.2">
      <c r="A27" s="291">
        <v>7</v>
      </c>
      <c r="B27" s="291"/>
      <c r="C27" s="69" t="s">
        <v>78</v>
      </c>
      <c r="D27" s="116">
        <f>E27/$E$33</f>
        <v>0.17</v>
      </c>
      <c r="E27" s="130">
        <f>_7</f>
        <v>5000000</v>
      </c>
      <c r="F27" s="64"/>
      <c r="G27" s="64"/>
      <c r="H27" s="96">
        <v>0</v>
      </c>
      <c r="I27" s="130">
        <f>E27*H27</f>
        <v>0</v>
      </c>
      <c r="J27" s="31"/>
    </row>
    <row r="28" spans="1:10" ht="6.95" customHeight="1" x14ac:dyDescent="0.2">
      <c r="D28" s="120"/>
      <c r="E28" s="102"/>
      <c r="H28" s="92"/>
      <c r="I28" s="102"/>
      <c r="J28" s="31"/>
    </row>
    <row r="29" spans="1:10" s="10" customFormat="1" ht="12.95" customHeight="1" x14ac:dyDescent="0.2">
      <c r="A29" s="291">
        <v>8</v>
      </c>
      <c r="B29" s="291"/>
      <c r="C29" s="69" t="s">
        <v>111</v>
      </c>
      <c r="D29" s="116">
        <f>E29/$E$33</f>
        <v>1E-3</v>
      </c>
      <c r="E29" s="130">
        <f>_8</f>
        <v>36000</v>
      </c>
      <c r="F29" s="64"/>
      <c r="G29" s="64"/>
      <c r="H29" s="96">
        <v>0</v>
      </c>
      <c r="I29" s="130">
        <f>E29*H29</f>
        <v>0</v>
      </c>
      <c r="J29" s="31"/>
    </row>
    <row r="30" spans="1:10" ht="6.95" customHeight="1" x14ac:dyDescent="0.2">
      <c r="D30" s="120"/>
      <c r="E30" s="102"/>
      <c r="H30" s="97"/>
      <c r="I30" s="102"/>
      <c r="J30" s="139"/>
    </row>
    <row r="31" spans="1:10" s="10" customFormat="1" ht="12.95" customHeight="1" x14ac:dyDescent="0.2">
      <c r="A31" s="291">
        <v>9</v>
      </c>
      <c r="B31" s="291"/>
      <c r="C31" s="69" t="s">
        <v>10</v>
      </c>
      <c r="D31" s="116">
        <f>E31/$E$33</f>
        <v>5.3999999999999999E-2</v>
      </c>
      <c r="E31" s="130">
        <f>_9</f>
        <v>1600000</v>
      </c>
      <c r="F31" s="64"/>
      <c r="G31" s="64"/>
      <c r="H31" s="96">
        <v>0.1</v>
      </c>
      <c r="I31" s="130">
        <f>E31*H31</f>
        <v>160000</v>
      </c>
      <c r="J31" s="31"/>
    </row>
    <row r="32" spans="1:10" ht="12" customHeight="1" x14ac:dyDescent="0.2">
      <c r="B32" s="4"/>
      <c r="D32" s="29"/>
      <c r="H32" s="1"/>
      <c r="I32" s="1"/>
      <c r="J32" s="1"/>
    </row>
    <row r="33" spans="1:11" ht="12.95" customHeight="1" x14ac:dyDescent="0.25">
      <c r="A33" s="190" t="s">
        <v>12</v>
      </c>
      <c r="B33" s="191"/>
      <c r="C33" s="191"/>
      <c r="D33" s="222">
        <f>SUM(D7:D31)</f>
        <v>1</v>
      </c>
      <c r="E33" s="82">
        <f>_EK</f>
        <v>29451000</v>
      </c>
      <c r="F33" s="55"/>
      <c r="G33" s="55"/>
      <c r="H33" s="163"/>
      <c r="I33" s="20"/>
      <c r="J33" s="20"/>
    </row>
    <row r="34" spans="1:11" ht="3.95" customHeight="1" x14ac:dyDescent="0.2">
      <c r="D34" s="29"/>
      <c r="F34" s="8"/>
      <c r="G34" s="8"/>
      <c r="H34" s="1"/>
      <c r="I34" s="1"/>
      <c r="J34" s="1"/>
    </row>
    <row r="35" spans="1:11" s="9" customFormat="1" ht="12.95" customHeight="1" x14ac:dyDescent="0.2">
      <c r="A35" s="263"/>
      <c r="B35" s="68" t="s">
        <v>91</v>
      </c>
      <c r="C35" s="69"/>
      <c r="D35" s="116"/>
      <c r="E35" s="130">
        <f>_mvB</f>
        <v>150000</v>
      </c>
      <c r="F35" s="64"/>
      <c r="G35" s="64"/>
      <c r="H35" s="220">
        <v>0</v>
      </c>
      <c r="I35" s="130">
        <f>E35*H35</f>
        <v>0</v>
      </c>
    </row>
    <row r="36" spans="1:11" ht="3.95" customHeight="1" x14ac:dyDescent="0.2">
      <c r="E36" s="29"/>
    </row>
    <row r="37" spans="1:11" s="13" customFormat="1" ht="12.95" customHeight="1" x14ac:dyDescent="0.3">
      <c r="A37" s="192" t="s">
        <v>32</v>
      </c>
      <c r="B37" s="193"/>
      <c r="C37" s="193"/>
      <c r="D37" s="171"/>
      <c r="E37" s="171"/>
      <c r="F37" s="171"/>
      <c r="G37" s="171"/>
      <c r="H37" s="172"/>
      <c r="I37" s="173">
        <f>SUM(I7:I35)</f>
        <v>20810000</v>
      </c>
      <c r="J37" s="276"/>
    </row>
    <row r="38" spans="1:11" s="14" customFormat="1" ht="12.95" customHeight="1" x14ac:dyDescent="0.25">
      <c r="B38" s="15"/>
      <c r="H38" s="143"/>
      <c r="I38" s="143"/>
      <c r="J38" s="143"/>
    </row>
    <row r="39" spans="1:11" ht="12.75" customHeight="1" x14ac:dyDescent="0.2">
      <c r="A39" s="144" t="s">
        <v>102</v>
      </c>
      <c r="B39" s="144"/>
      <c r="C39" s="145"/>
      <c r="D39" s="145"/>
      <c r="E39" s="145"/>
      <c r="F39" s="145"/>
      <c r="G39" s="145"/>
      <c r="H39" s="144"/>
      <c r="I39" s="225"/>
      <c r="J39" s="147"/>
    </row>
    <row r="40" spans="1:11" ht="6.75" customHeight="1" x14ac:dyDescent="0.2">
      <c r="A40" s="146"/>
      <c r="B40" s="146"/>
      <c r="C40" s="146"/>
      <c r="D40" s="146"/>
      <c r="E40" s="146"/>
      <c r="F40" s="146"/>
      <c r="G40" s="146"/>
      <c r="I40" s="224"/>
    </row>
    <row r="41" spans="1:11" ht="12.75" customHeight="1" x14ac:dyDescent="0.2">
      <c r="A41" s="147" t="s">
        <v>62</v>
      </c>
      <c r="B41" s="146"/>
      <c r="C41" s="146"/>
      <c r="D41" s="146"/>
      <c r="E41" s="146"/>
      <c r="F41" s="146"/>
      <c r="G41" s="146"/>
      <c r="I41" s="224"/>
    </row>
    <row r="42" spans="1:11" ht="12.75" customHeight="1" x14ac:dyDescent="0.2">
      <c r="A42" s="16"/>
      <c r="B42" s="16"/>
      <c r="E42" s="148" t="s">
        <v>5</v>
      </c>
      <c r="F42" s="149" t="s">
        <v>4</v>
      </c>
      <c r="H42" s="293" t="s">
        <v>114</v>
      </c>
      <c r="I42" s="293"/>
      <c r="J42" s="277"/>
    </row>
    <row r="43" spans="1:11" ht="12.75" customHeight="1" x14ac:dyDescent="0.2">
      <c r="B43" s="17" t="s">
        <v>39</v>
      </c>
      <c r="C43" s="32"/>
      <c r="D43" s="32"/>
      <c r="E43" s="98">
        <v>22</v>
      </c>
      <c r="F43" s="150" t="s">
        <v>48</v>
      </c>
      <c r="H43" s="239"/>
      <c r="I43" s="240"/>
      <c r="J43" s="277"/>
    </row>
    <row r="44" spans="1:11" ht="12.75" customHeight="1" x14ac:dyDescent="0.2">
      <c r="B44" s="18" t="s">
        <v>40</v>
      </c>
      <c r="C44" s="33"/>
      <c r="D44" s="33"/>
      <c r="E44" s="99">
        <v>2</v>
      </c>
      <c r="F44" s="151" t="s">
        <v>6</v>
      </c>
      <c r="H44" s="241"/>
      <c r="I44" s="242"/>
      <c r="J44" s="277"/>
    </row>
    <row r="45" spans="1:11" ht="12.75" customHeight="1" x14ac:dyDescent="0.2">
      <c r="B45" s="18" t="s">
        <v>41</v>
      </c>
      <c r="C45" s="33"/>
      <c r="D45" s="33"/>
      <c r="E45" s="99">
        <v>1</v>
      </c>
      <c r="F45" s="151" t="s">
        <v>6</v>
      </c>
      <c r="H45" s="241"/>
      <c r="I45" s="242"/>
      <c r="J45" s="277"/>
    </row>
    <row r="46" spans="1:11" ht="12.75" customHeight="1" x14ac:dyDescent="0.2">
      <c r="B46" s="18" t="s">
        <v>42</v>
      </c>
      <c r="C46" s="33"/>
      <c r="D46" s="33"/>
      <c r="E46" s="99">
        <v>1</v>
      </c>
      <c r="F46" s="151" t="s">
        <v>6</v>
      </c>
      <c r="H46" s="243"/>
      <c r="I46" s="244"/>
      <c r="J46" s="277"/>
    </row>
    <row r="47" spans="1:11" ht="3" customHeight="1" x14ac:dyDescent="0.2">
      <c r="A47" s="16"/>
      <c r="B47" s="16"/>
      <c r="E47" s="152"/>
      <c r="F47" s="152"/>
      <c r="I47" s="226"/>
      <c r="J47" s="277"/>
    </row>
    <row r="48" spans="1:11" ht="12.75" customHeight="1" x14ac:dyDescent="0.2">
      <c r="A48" s="16"/>
      <c r="B48" s="16"/>
      <c r="C48" s="298" t="s">
        <v>133</v>
      </c>
      <c r="D48" s="299"/>
      <c r="E48" s="99">
        <v>0</v>
      </c>
      <c r="F48" s="151" t="s">
        <v>134</v>
      </c>
      <c r="H48" s="241"/>
      <c r="I48" s="242"/>
      <c r="J48" s="1"/>
      <c r="K48" s="277"/>
    </row>
    <row r="49" spans="1:11" ht="12.75" customHeight="1" x14ac:dyDescent="0.2">
      <c r="A49" s="16"/>
      <c r="B49" s="16"/>
      <c r="C49" s="298" t="s">
        <v>135</v>
      </c>
      <c r="D49" s="299"/>
      <c r="E49" s="99">
        <v>0</v>
      </c>
      <c r="F49" s="151" t="s">
        <v>136</v>
      </c>
      <c r="H49" s="243"/>
      <c r="I49" s="244"/>
      <c r="J49" s="1"/>
      <c r="K49" s="277"/>
    </row>
    <row r="50" spans="1:11" ht="4.5" customHeight="1" x14ac:dyDescent="0.2">
      <c r="A50" s="16"/>
      <c r="B50" s="16"/>
      <c r="C50" s="16"/>
      <c r="E50" s="152"/>
      <c r="F50" s="152"/>
      <c r="I50" s="226"/>
      <c r="J50" s="1"/>
      <c r="K50" s="277"/>
    </row>
    <row r="51" spans="1:11" ht="12.75" customHeight="1" x14ac:dyDescent="0.2">
      <c r="B51" s="16" t="s">
        <v>38</v>
      </c>
      <c r="D51" s="153"/>
      <c r="E51" s="155">
        <f>SUM(E43:E49)</f>
        <v>26</v>
      </c>
      <c r="F51" s="154"/>
      <c r="I51" s="226"/>
      <c r="J51" s="1"/>
      <c r="K51" s="300"/>
    </row>
    <row r="52" spans="1:11" ht="12.95" customHeight="1" x14ac:dyDescent="0.2">
      <c r="B52" s="1"/>
      <c r="C52" s="154"/>
      <c r="D52" s="154"/>
      <c r="E52" s="154"/>
      <c r="F52" s="154"/>
      <c r="G52" s="154"/>
      <c r="I52" s="226"/>
      <c r="J52" s="1"/>
    </row>
    <row r="53" spans="1:11" ht="12.95" customHeight="1" x14ac:dyDescent="0.2">
      <c r="A53" s="147" t="s">
        <v>15</v>
      </c>
      <c r="B53" s="146"/>
      <c r="C53" s="146"/>
      <c r="D53" s="146"/>
      <c r="E53" s="146"/>
      <c r="F53" s="146"/>
      <c r="G53" s="146"/>
      <c r="H53" s="223"/>
      <c r="I53" s="1"/>
    </row>
    <row r="54" spans="1:11" ht="4.5" customHeight="1" x14ac:dyDescent="0.2">
      <c r="A54" s="147"/>
      <c r="B54" s="147"/>
      <c r="C54" s="147"/>
      <c r="I54" s="1"/>
    </row>
    <row r="55" spans="1:11" ht="12.75" customHeight="1" x14ac:dyDescent="0.2">
      <c r="A55" s="156" t="s">
        <v>11</v>
      </c>
      <c r="B55" s="1"/>
      <c r="E55" s="174">
        <f>I37</f>
        <v>20810000</v>
      </c>
      <c r="H55" s="292" t="str">
        <f>IF(E55&lt;500000,"! gemäß BP.9 (3): Wenn die Bemessungsgrundlage niedriger ist als 500.000 €, sollte der Ermittlungsweg über Abschätzung des Büro- / Personalaufwandes gewählt werden","")</f>
        <v/>
      </c>
      <c r="I55" s="292"/>
    </row>
    <row r="56" spans="1:11" ht="8.1" customHeight="1" x14ac:dyDescent="0.2">
      <c r="A56" s="16"/>
      <c r="B56" s="16"/>
      <c r="C56" s="16"/>
      <c r="D56" s="16"/>
      <c r="E56" s="153"/>
      <c r="H56" s="292"/>
      <c r="I56" s="292"/>
    </row>
    <row r="57" spans="1:11" ht="13.5" customHeight="1" x14ac:dyDescent="0.3">
      <c r="A57" s="21" t="s">
        <v>50</v>
      </c>
      <c r="B57" s="21"/>
      <c r="E57" s="195">
        <f>0.021*E51+0.761</f>
        <v>1.31</v>
      </c>
      <c r="F57" s="101"/>
      <c r="H57" s="292"/>
      <c r="I57" s="292"/>
      <c r="J57" s="278"/>
      <c r="K57" s="34"/>
    </row>
    <row r="58" spans="1:11" ht="4.5" customHeight="1" x14ac:dyDescent="0.2">
      <c r="A58" s="16"/>
      <c r="B58" s="16"/>
      <c r="E58" s="26"/>
      <c r="F58" s="101"/>
      <c r="H58" s="292"/>
      <c r="I58" s="292"/>
      <c r="J58" s="278"/>
      <c r="K58" s="34"/>
    </row>
    <row r="59" spans="1:11" s="269" customFormat="1" ht="18" customHeight="1" x14ac:dyDescent="0.25">
      <c r="A59" s="16" t="s">
        <v>106</v>
      </c>
      <c r="B59" s="16"/>
      <c r="E59" s="270">
        <f>ROUND(117.07*E55^(-0.41731)*E57/100,6)</f>
        <v>1.354E-3</v>
      </c>
      <c r="F59" s="271" t="s">
        <v>74</v>
      </c>
      <c r="H59" s="292"/>
      <c r="I59" s="292"/>
      <c r="J59" s="279"/>
      <c r="K59" s="280"/>
    </row>
    <row r="60" spans="1:11" ht="12.75" customHeight="1" x14ac:dyDescent="0.2">
      <c r="A60" s="16" t="s">
        <v>92</v>
      </c>
      <c r="B60" s="16"/>
      <c r="E60" s="176">
        <v>0</v>
      </c>
      <c r="F60" s="194"/>
      <c r="H60" s="292"/>
      <c r="I60" s="292"/>
      <c r="J60" s="278"/>
      <c r="K60" s="34"/>
    </row>
    <row r="61" spans="1:11" ht="8.1" customHeight="1" x14ac:dyDescent="0.2">
      <c r="A61" s="16"/>
      <c r="B61" s="16"/>
      <c r="E61" s="157"/>
      <c r="F61" s="157"/>
      <c r="H61" s="292"/>
      <c r="I61" s="292"/>
    </row>
    <row r="62" spans="1:11" ht="15" customHeight="1" x14ac:dyDescent="0.3">
      <c r="A62" s="19" t="s">
        <v>93</v>
      </c>
      <c r="B62" s="17"/>
      <c r="C62" s="158"/>
      <c r="D62" s="158"/>
      <c r="E62" s="159"/>
      <c r="F62" s="227">
        <f>E55*E59*(1+E60)</f>
        <v>28177</v>
      </c>
      <c r="I62" s="1"/>
    </row>
    <row r="63" spans="1:11" ht="6" customHeight="1" x14ac:dyDescent="0.2">
      <c r="A63" s="21"/>
      <c r="B63" s="16"/>
      <c r="C63" s="146"/>
      <c r="D63" s="146"/>
      <c r="E63" s="160"/>
      <c r="F63" s="160"/>
      <c r="I63" s="1"/>
    </row>
    <row r="64" spans="1:11" ht="12.95" customHeight="1" x14ac:dyDescent="0.2">
      <c r="A64" s="21"/>
      <c r="B64" s="16"/>
      <c r="C64" s="146"/>
      <c r="D64" s="238" t="s">
        <v>98</v>
      </c>
      <c r="E64" s="237" t="s">
        <v>5</v>
      </c>
      <c r="F64" s="160"/>
      <c r="I64" s="27"/>
    </row>
    <row r="65" spans="1:13" ht="12.75" customHeight="1" x14ac:dyDescent="0.25">
      <c r="A65" s="146" t="s">
        <v>68</v>
      </c>
      <c r="B65" s="161"/>
      <c r="D65" s="235">
        <v>0.03</v>
      </c>
      <c r="E65" s="175">
        <v>0.03</v>
      </c>
      <c r="F65" s="198">
        <f t="shared" ref="F65:F74" si="1">$F$62*E65</f>
        <v>845</v>
      </c>
      <c r="I65"/>
    </row>
    <row r="66" spans="1:13" ht="12.75" customHeight="1" x14ac:dyDescent="0.25">
      <c r="A66" s="146" t="s">
        <v>33</v>
      </c>
      <c r="B66" s="161"/>
      <c r="D66" s="235">
        <v>0.17</v>
      </c>
      <c r="E66" s="176">
        <v>0.17</v>
      </c>
      <c r="F66" s="198">
        <f t="shared" si="1"/>
        <v>4790</v>
      </c>
      <c r="I66"/>
    </row>
    <row r="67" spans="1:13" ht="12.75" customHeight="1" x14ac:dyDescent="0.25">
      <c r="A67" s="146" t="s">
        <v>34</v>
      </c>
      <c r="B67" s="161"/>
      <c r="D67" s="235">
        <v>0.35</v>
      </c>
      <c r="E67" s="176">
        <v>0.35</v>
      </c>
      <c r="F67" s="198">
        <f t="shared" si="1"/>
        <v>9862</v>
      </c>
      <c r="I67"/>
    </row>
    <row r="68" spans="1:13" ht="12.75" customHeight="1" x14ac:dyDescent="0.25">
      <c r="A68" s="146" t="s">
        <v>35</v>
      </c>
      <c r="B68" s="161"/>
      <c r="D68" s="235">
        <v>0.05</v>
      </c>
      <c r="E68" s="176">
        <v>0.05</v>
      </c>
      <c r="F68" s="198">
        <f t="shared" si="1"/>
        <v>1409</v>
      </c>
      <c r="I68"/>
    </row>
    <row r="69" spans="1:13" ht="12.75" customHeight="1" x14ac:dyDescent="0.25">
      <c r="A69" s="146" t="s">
        <v>51</v>
      </c>
      <c r="B69" s="161"/>
      <c r="D69" s="235">
        <v>0.27</v>
      </c>
      <c r="E69" s="176">
        <v>0.27</v>
      </c>
      <c r="F69" s="198">
        <f t="shared" si="1"/>
        <v>7608</v>
      </c>
      <c r="I69"/>
    </row>
    <row r="70" spans="1:13" ht="12.75" customHeight="1" x14ac:dyDescent="0.25">
      <c r="A70" s="146" t="s">
        <v>36</v>
      </c>
      <c r="B70" s="161"/>
      <c r="D70" s="235">
        <v>0.02</v>
      </c>
      <c r="E70" s="176">
        <v>0.02</v>
      </c>
      <c r="F70" s="198">
        <f t="shared" si="1"/>
        <v>564</v>
      </c>
      <c r="I70"/>
    </row>
    <row r="71" spans="1:13" ht="12.75" customHeight="1" x14ac:dyDescent="0.25">
      <c r="A71" s="146" t="s">
        <v>49</v>
      </c>
      <c r="B71" s="161"/>
      <c r="D71" s="235">
        <v>0.02</v>
      </c>
      <c r="E71" s="176">
        <v>0.02</v>
      </c>
      <c r="F71" s="198">
        <f t="shared" si="1"/>
        <v>564</v>
      </c>
      <c r="I71"/>
    </row>
    <row r="72" spans="1:13" ht="12.75" customHeight="1" x14ac:dyDescent="0.25">
      <c r="A72" s="146" t="s">
        <v>46</v>
      </c>
      <c r="B72" s="161"/>
      <c r="D72" s="235">
        <v>0.09</v>
      </c>
      <c r="E72" s="176">
        <v>0.09</v>
      </c>
      <c r="F72" s="198">
        <f t="shared" si="1"/>
        <v>2536</v>
      </c>
      <c r="I72"/>
    </row>
    <row r="73" spans="1:13" ht="12.75" customHeight="1" x14ac:dyDescent="0.25">
      <c r="A73" s="146" t="s">
        <v>52</v>
      </c>
      <c r="B73" s="161"/>
      <c r="D73" s="235">
        <v>0</v>
      </c>
      <c r="E73" s="176">
        <v>0</v>
      </c>
      <c r="F73" s="198">
        <f t="shared" si="1"/>
        <v>0</v>
      </c>
      <c r="I73"/>
    </row>
    <row r="74" spans="1:13" ht="12.75" customHeight="1" x14ac:dyDescent="0.25">
      <c r="A74" s="158" t="s">
        <v>47</v>
      </c>
      <c r="B74" s="162"/>
      <c r="C74" s="32"/>
      <c r="D74" s="236">
        <v>0</v>
      </c>
      <c r="E74" s="177">
        <v>0</v>
      </c>
      <c r="F74" s="228">
        <f t="shared" si="1"/>
        <v>0</v>
      </c>
      <c r="G74" s="32"/>
      <c r="H74" s="39"/>
      <c r="I74" s="268"/>
    </row>
    <row r="75" spans="1:13" s="14" customFormat="1" ht="18.600000000000001" customHeight="1" x14ac:dyDescent="0.25">
      <c r="A75" s="250" t="s">
        <v>37</v>
      </c>
      <c r="B75" s="251"/>
      <c r="D75" s="259">
        <f>SUM(D65:D74)</f>
        <v>1</v>
      </c>
      <c r="E75" s="252">
        <f>SUM(E65:E74)</f>
        <v>1</v>
      </c>
      <c r="F75" s="253">
        <f>SUM(F65:F74)</f>
        <v>28178</v>
      </c>
      <c r="H75" s="254"/>
      <c r="I75" s="255"/>
    </row>
    <row r="76" spans="1:13" ht="12.75" customHeight="1" x14ac:dyDescent="0.25">
      <c r="A76" s="301" t="s">
        <v>124</v>
      </c>
      <c r="B76" s="161"/>
      <c r="D76" s="235">
        <v>0.02</v>
      </c>
      <c r="E76" s="248">
        <v>0</v>
      </c>
      <c r="F76" s="224">
        <f>$F$62*E76</f>
        <v>0</v>
      </c>
      <c r="I76"/>
      <c r="J76" s="1"/>
    </row>
    <row r="77" spans="1:13" ht="12.75" customHeight="1" x14ac:dyDescent="0.25">
      <c r="A77" s="301" t="s">
        <v>131</v>
      </c>
      <c r="B77" s="162"/>
      <c r="C77" s="32"/>
      <c r="D77" s="236">
        <v>0.02</v>
      </c>
      <c r="E77" s="177">
        <v>0</v>
      </c>
      <c r="F77" s="249">
        <f>$F$62*E77</f>
        <v>0</v>
      </c>
      <c r="G77" s="32"/>
      <c r="H77" s="39"/>
      <c r="I77" s="268"/>
      <c r="J77" s="1"/>
    </row>
    <row r="78" spans="1:13" ht="12.75" customHeight="1" x14ac:dyDescent="0.2">
      <c r="A78" s="289" t="s">
        <v>132</v>
      </c>
      <c r="B78" s="289"/>
      <c r="C78" s="289"/>
      <c r="D78" s="258">
        <f>SUM(D75:D77)</f>
        <v>1.04</v>
      </c>
      <c r="E78" s="230">
        <f>SUM(E76:E77)+E75</f>
        <v>1</v>
      </c>
      <c r="F78" s="200">
        <f>ROUND(SUM(F76:F77),2)+F75</f>
        <v>28178</v>
      </c>
      <c r="I78" s="91">
        <f>F78</f>
        <v>28178</v>
      </c>
    </row>
    <row r="79" spans="1:13" ht="12.75" customHeight="1" x14ac:dyDescent="0.25">
      <c r="E79" s="231"/>
      <c r="I79"/>
    </row>
    <row r="80" spans="1:13" ht="12.75" customHeight="1" x14ac:dyDescent="0.25">
      <c r="A80" s="30" t="s">
        <v>79</v>
      </c>
      <c r="E80" s="196">
        <v>0</v>
      </c>
      <c r="F80" s="197">
        <v>0</v>
      </c>
      <c r="I80" s="91">
        <f>E80*F80</f>
        <v>0</v>
      </c>
      <c r="K80"/>
      <c r="L80"/>
      <c r="M80"/>
    </row>
    <row r="81" spans="1:9" ht="12.75" customHeight="1" x14ac:dyDescent="0.25">
      <c r="F81" s="231"/>
      <c r="I81"/>
    </row>
    <row r="82" spans="1:9" s="21" customFormat="1" ht="12.75" x14ac:dyDescent="0.2">
      <c r="A82" s="86" t="s">
        <v>94</v>
      </c>
      <c r="B82" s="88"/>
      <c r="C82" s="88"/>
      <c r="D82" s="89"/>
      <c r="E82" s="90"/>
      <c r="F82" s="232"/>
      <c r="G82" s="89"/>
      <c r="H82" s="89"/>
      <c r="I82" s="91">
        <f>I78+I80</f>
        <v>28178</v>
      </c>
    </row>
    <row r="83" spans="1:9" s="21" customFormat="1" ht="4.5" customHeight="1" x14ac:dyDescent="0.2">
      <c r="B83" s="23"/>
      <c r="C83" s="23"/>
      <c r="D83" s="40"/>
      <c r="E83" s="41"/>
      <c r="F83" s="178"/>
      <c r="G83" s="42"/>
      <c r="I83" s="83"/>
    </row>
    <row r="84" spans="1:9" s="21" customFormat="1" ht="12.75" x14ac:dyDescent="0.2">
      <c r="A84" s="43" t="s">
        <v>13</v>
      </c>
      <c r="B84" s="23"/>
      <c r="C84" s="23"/>
      <c r="D84" s="41"/>
      <c r="E84" s="41"/>
      <c r="F84" s="179">
        <v>0.04</v>
      </c>
      <c r="G84" s="42"/>
      <c r="I84" s="84">
        <f>ROUND(I82*F84,2)</f>
        <v>1127</v>
      </c>
    </row>
    <row r="85" spans="1:9" s="21" customFormat="1" ht="3" customHeight="1" x14ac:dyDescent="0.2">
      <c r="A85" s="44"/>
      <c r="B85" s="46"/>
      <c r="C85" s="46"/>
      <c r="D85" s="49"/>
      <c r="E85" s="49"/>
      <c r="F85" s="180"/>
      <c r="G85" s="56"/>
      <c r="H85" s="44"/>
      <c r="I85" s="85"/>
    </row>
    <row r="86" spans="1:9" s="21" customFormat="1" ht="3" customHeight="1" x14ac:dyDescent="0.2">
      <c r="B86" s="23"/>
      <c r="C86" s="23"/>
      <c r="D86" s="50"/>
      <c r="E86" s="50"/>
      <c r="F86" s="181"/>
      <c r="G86" s="57"/>
      <c r="H86" s="51"/>
      <c r="I86" s="83"/>
    </row>
    <row r="87" spans="1:9" s="21" customFormat="1" ht="12.75" x14ac:dyDescent="0.2">
      <c r="A87" s="47" t="s">
        <v>63</v>
      </c>
      <c r="B87" s="48"/>
      <c r="C87" s="48"/>
      <c r="D87" s="24"/>
      <c r="E87" s="24"/>
      <c r="F87" s="178"/>
      <c r="G87" s="42"/>
      <c r="I87" s="84">
        <f>I82+I84</f>
        <v>29305</v>
      </c>
    </row>
    <row r="88" spans="1:9" s="21" customFormat="1" ht="12.75" x14ac:dyDescent="0.2">
      <c r="A88" s="21" t="s">
        <v>14</v>
      </c>
      <c r="C88" s="23"/>
      <c r="D88" s="24"/>
      <c r="E88" s="24"/>
      <c r="F88" s="25">
        <v>0.2</v>
      </c>
      <c r="G88" s="25"/>
      <c r="I88" s="84">
        <f>ROUND(I87*F88,2)</f>
        <v>5861</v>
      </c>
    </row>
    <row r="89" spans="1:9" s="21" customFormat="1" ht="3" customHeight="1" x14ac:dyDescent="0.2">
      <c r="B89" s="23"/>
      <c r="C89" s="23"/>
      <c r="D89" s="24"/>
      <c r="E89" s="24"/>
      <c r="F89" s="42"/>
      <c r="G89" s="42"/>
      <c r="I89" s="83"/>
    </row>
    <row r="90" spans="1:9" s="21" customFormat="1" ht="12.75" x14ac:dyDescent="0.2">
      <c r="A90" s="182" t="s">
        <v>53</v>
      </c>
      <c r="B90" s="183"/>
      <c r="C90" s="183"/>
      <c r="D90" s="184"/>
      <c r="E90" s="185"/>
      <c r="F90" s="186"/>
      <c r="G90" s="186"/>
      <c r="H90" s="184"/>
      <c r="I90" s="187">
        <f>SUM(I86:I88)</f>
        <v>35166</v>
      </c>
    </row>
    <row r="91" spans="1:9" ht="5.0999999999999996" customHeight="1" x14ac:dyDescent="0.2"/>
    <row r="92" spans="1:9" ht="12.75" x14ac:dyDescent="0.2">
      <c r="A92" s="188" t="s">
        <v>75</v>
      </c>
      <c r="F92" s="233">
        <f>I87/E33</f>
        <v>9.9500000000000001E-4</v>
      </c>
    </row>
  </sheetData>
  <sheetProtection algorithmName="SHA-512" hashValue="c/DLIRw7kqqQcmk+j9NVNDxpleU/iBE8SzufGKpCAFp6gpLuPjBbEuCtazLqpsilPxQfu05u7xp8WjM3H/cCxQ==" saltValue="2BnYL4MBZwJWuiQp/32KqQ==" spinCount="100000" sheet="1" objects="1" scenarios="1"/>
  <mergeCells count="13">
    <mergeCell ref="A78:C78"/>
    <mergeCell ref="H2:I2"/>
    <mergeCell ref="A31:B31"/>
    <mergeCell ref="A29:B29"/>
    <mergeCell ref="A27:B27"/>
    <mergeCell ref="A25:B25"/>
    <mergeCell ref="H55:I61"/>
    <mergeCell ref="H42:I42"/>
    <mergeCell ref="A7:B7"/>
    <mergeCell ref="A11:B11"/>
    <mergeCell ref="A9:B9"/>
    <mergeCell ref="A23:B23"/>
    <mergeCell ref="A21:B21"/>
  </mergeCells>
  <pageMargins left="0.70866141732283472" right="0.70866141732283472" top="0.74803149606299213" bottom="0.74803149606299213" header="0.31496062992125984" footer="0.31496062992125984"/>
  <pageSetup paperSize="9" scale="72" fitToWidth="0" fitToHeight="0" pageOrder="overThenDown" orientation="portrait" r:id="rId1"/>
  <headerFooter>
    <oddHeader>&amp;L&amp;"Arial,Fett"&amp;K01+027Angebot &amp;A
&amp;"Arial,Standard"nach VM.BP+NH.2023&amp;R&amp;"Arial,Standard"&amp;K01+028Version 1
Stand: 15.09.2023</oddHeader>
    <oddFooter>&amp;L&amp;"Arial,Fett"&amp;K01+039LM.VM.2023 &amp;"Arial,Standard" |  Bauphysik &amp;A  |  Angebotsformular&amp;R&amp;"Arial,Standard"&amp;K01+039&amp;P/&amp;N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Scroll Bar 1">
              <controlPr locked="0" defaultSize="0" autoPict="0">
                <anchor moveWithCells="1">
                  <from>
                    <xdr:col>7</xdr:col>
                    <xdr:colOff>28575</xdr:colOff>
                    <xdr:row>42</xdr:row>
                    <xdr:rowOff>19050</xdr:rowOff>
                  </from>
                  <to>
                    <xdr:col>8</xdr:col>
                    <xdr:colOff>1028700</xdr:colOff>
                    <xdr:row>42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Scroll Bar 2">
              <controlPr locked="0" defaultSize="0" autoPict="0">
                <anchor moveWithCells="1">
                  <from>
                    <xdr:col>7</xdr:col>
                    <xdr:colOff>28575</xdr:colOff>
                    <xdr:row>43</xdr:row>
                    <xdr:rowOff>19050</xdr:rowOff>
                  </from>
                  <to>
                    <xdr:col>8</xdr:col>
                    <xdr:colOff>1028700</xdr:colOff>
                    <xdr:row>43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Scroll Bar 3">
              <controlPr locked="0" defaultSize="0" autoPict="0">
                <anchor moveWithCells="1">
                  <from>
                    <xdr:col>7</xdr:col>
                    <xdr:colOff>28575</xdr:colOff>
                    <xdr:row>44</xdr:row>
                    <xdr:rowOff>28575</xdr:rowOff>
                  </from>
                  <to>
                    <xdr:col>8</xdr:col>
                    <xdr:colOff>1028700</xdr:colOff>
                    <xdr:row>44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Scroll Bar 4">
              <controlPr locked="0" defaultSize="0" autoPict="0">
                <anchor moveWithCells="1">
                  <from>
                    <xdr:col>7</xdr:col>
                    <xdr:colOff>28575</xdr:colOff>
                    <xdr:row>45</xdr:row>
                    <xdr:rowOff>28575</xdr:rowOff>
                  </from>
                  <to>
                    <xdr:col>8</xdr:col>
                    <xdr:colOff>1028700</xdr:colOff>
                    <xdr:row>45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Scroll Bar 5">
              <controlPr locked="0" defaultSize="0" autoPict="0">
                <anchor moveWithCells="1">
                  <from>
                    <xdr:col>7</xdr:col>
                    <xdr:colOff>28575</xdr:colOff>
                    <xdr:row>47</xdr:row>
                    <xdr:rowOff>28575</xdr:rowOff>
                  </from>
                  <to>
                    <xdr:col>8</xdr:col>
                    <xdr:colOff>1028700</xdr:colOff>
                    <xdr:row>47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Scroll Bar 6">
              <controlPr locked="0" defaultSize="0" autoPict="0">
                <anchor moveWithCells="1">
                  <from>
                    <xdr:col>7</xdr:col>
                    <xdr:colOff>28575</xdr:colOff>
                    <xdr:row>48</xdr:row>
                    <xdr:rowOff>28575</xdr:rowOff>
                  </from>
                  <to>
                    <xdr:col>8</xdr:col>
                    <xdr:colOff>1028700</xdr:colOff>
                    <xdr:row>48</xdr:row>
                    <xdr:rowOff>133350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2"/>
  <dimension ref="A1:M92"/>
  <sheetViews>
    <sheetView showGridLines="0" zoomScaleNormal="100" zoomScaleSheetLayoutView="85" zoomScalePageLayoutView="85" workbookViewId="0">
      <selection activeCell="A47" sqref="A47:XFD49"/>
    </sheetView>
  </sheetViews>
  <sheetFormatPr baseColWidth="10" defaultColWidth="11.5703125" defaultRowHeight="12" x14ac:dyDescent="0.2"/>
  <cols>
    <col min="1" max="1" width="1.5703125" style="1" customWidth="1"/>
    <col min="2" max="2" width="3.28515625" style="6" customWidth="1"/>
    <col min="3" max="3" width="38.7109375" style="1" customWidth="1"/>
    <col min="4" max="4" width="8.140625" style="1" customWidth="1"/>
    <col min="5" max="5" width="14.7109375" style="1" customWidth="1"/>
    <col min="6" max="6" width="15.7109375" style="1" customWidth="1"/>
    <col min="7" max="7" width="8.28515625" style="1" customWidth="1"/>
    <col min="8" max="8" width="14.7109375" style="7" customWidth="1" collapsed="1"/>
    <col min="9" max="9" width="15.7109375" style="8" customWidth="1"/>
    <col min="10" max="10" width="2.7109375" style="8" customWidth="1"/>
    <col min="11" max="16384" width="11.5703125" style="1"/>
  </cols>
  <sheetData>
    <row r="1" spans="1:10" ht="5.0999999999999996" customHeight="1" x14ac:dyDescent="0.2"/>
    <row r="2" spans="1:10" s="34" customFormat="1" ht="35.1" customHeight="1" x14ac:dyDescent="0.2">
      <c r="A2" s="94" t="s">
        <v>73</v>
      </c>
      <c r="B2" s="6"/>
      <c r="F2" s="35"/>
      <c r="G2" s="35"/>
      <c r="H2" s="294" t="s">
        <v>112</v>
      </c>
      <c r="I2" s="290"/>
      <c r="J2" s="37"/>
    </row>
    <row r="3" spans="1:10" s="9" customFormat="1" ht="6" customHeight="1" x14ac:dyDescent="0.25">
      <c r="A3" s="65"/>
      <c r="B3" s="65"/>
      <c r="C3" s="65"/>
      <c r="D3" s="65"/>
      <c r="E3" s="65"/>
      <c r="F3" s="65"/>
      <c r="G3" s="65"/>
      <c r="H3" s="65"/>
      <c r="I3" s="66"/>
      <c r="J3" s="2"/>
    </row>
    <row r="4" spans="1:10" s="9" customFormat="1" ht="6" customHeight="1" x14ac:dyDescent="0.25">
      <c r="I4" s="2"/>
      <c r="J4" s="2"/>
    </row>
    <row r="5" spans="1:10" s="9" customFormat="1" ht="12.95" customHeight="1" x14ac:dyDescent="0.25">
      <c r="D5" s="61" t="s">
        <v>61</v>
      </c>
      <c r="E5" s="28" t="s">
        <v>43</v>
      </c>
      <c r="G5" s="28"/>
      <c r="H5" s="11" t="s">
        <v>16</v>
      </c>
      <c r="I5" s="81" t="s">
        <v>44</v>
      </c>
      <c r="J5" s="28"/>
    </row>
    <row r="6" spans="1:10" s="9" customFormat="1" ht="6" customHeight="1" x14ac:dyDescent="0.25">
      <c r="E6" s="59"/>
      <c r="I6" s="2"/>
      <c r="J6" s="2"/>
    </row>
    <row r="7" spans="1:10" s="10" customFormat="1" ht="12.95" customHeight="1" x14ac:dyDescent="0.2">
      <c r="A7" s="291">
        <v>1</v>
      </c>
      <c r="B7" s="291"/>
      <c r="C7" s="69" t="s">
        <v>0</v>
      </c>
      <c r="D7" s="116">
        <f>E7/$E$33</f>
        <v>1E-3</v>
      </c>
      <c r="E7" s="130">
        <f>_1</f>
        <v>15000</v>
      </c>
      <c r="F7" s="64"/>
      <c r="G7" s="64"/>
      <c r="H7" s="95">
        <v>0</v>
      </c>
      <c r="I7" s="130">
        <f>E7*H7</f>
        <v>0</v>
      </c>
      <c r="J7" s="31"/>
    </row>
    <row r="8" spans="1:10" ht="6.95" customHeight="1" x14ac:dyDescent="0.2">
      <c r="B8" s="5"/>
      <c r="D8" s="117"/>
      <c r="E8" s="103"/>
      <c r="H8" s="92"/>
      <c r="I8" s="103"/>
      <c r="J8" s="38"/>
    </row>
    <row r="9" spans="1:10" s="10" customFormat="1" ht="12.95" customHeight="1" x14ac:dyDescent="0.2">
      <c r="A9" s="291">
        <v>2</v>
      </c>
      <c r="B9" s="291"/>
      <c r="C9" s="69" t="s">
        <v>1</v>
      </c>
      <c r="D9" s="116">
        <f>E9/$E$33</f>
        <v>0.30599999999999999</v>
      </c>
      <c r="E9" s="130">
        <f>_2</f>
        <v>9000000</v>
      </c>
      <c r="F9" s="64"/>
      <c r="G9" s="64"/>
      <c r="H9" s="96">
        <v>1</v>
      </c>
      <c r="I9" s="130">
        <f>E9*H9</f>
        <v>9000000</v>
      </c>
      <c r="J9" s="31"/>
    </row>
    <row r="10" spans="1:10" ht="6.95" customHeight="1" x14ac:dyDescent="0.2">
      <c r="D10" s="117"/>
      <c r="E10" s="221"/>
      <c r="H10" s="92"/>
      <c r="I10" s="102"/>
      <c r="J10" s="31"/>
    </row>
    <row r="11" spans="1:10" s="9" customFormat="1" ht="12.95" customHeight="1" x14ac:dyDescent="0.2">
      <c r="A11" s="291">
        <v>3</v>
      </c>
      <c r="B11" s="291"/>
      <c r="C11" s="69" t="s">
        <v>7</v>
      </c>
      <c r="D11" s="116">
        <f>E11/$E$33</f>
        <v>0.192</v>
      </c>
      <c r="E11" s="131">
        <f>_3</f>
        <v>5650000</v>
      </c>
      <c r="F11" s="64"/>
      <c r="G11" s="64"/>
      <c r="H11" s="92"/>
      <c r="I11" s="102"/>
      <c r="J11" s="31"/>
    </row>
    <row r="12" spans="1:10" ht="12.95" customHeight="1" x14ac:dyDescent="0.2">
      <c r="A12" s="266">
        <v>3</v>
      </c>
      <c r="B12" s="72" t="s">
        <v>17</v>
      </c>
      <c r="C12" s="73" t="s">
        <v>18</v>
      </c>
      <c r="D12" s="118"/>
      <c r="E12" s="127">
        <f>_3.01</f>
        <v>900000</v>
      </c>
      <c r="F12" s="64"/>
      <c r="G12" s="64"/>
      <c r="H12" s="96">
        <v>1</v>
      </c>
      <c r="I12" s="132">
        <f t="shared" ref="I12:I19" si="0">E12*H12</f>
        <v>900000</v>
      </c>
      <c r="J12" s="31"/>
    </row>
    <row r="13" spans="1:10" ht="12.95" customHeight="1" x14ac:dyDescent="0.2">
      <c r="A13" s="267">
        <v>3</v>
      </c>
      <c r="B13" s="76" t="s">
        <v>19</v>
      </c>
      <c r="C13" s="77" t="s">
        <v>26</v>
      </c>
      <c r="D13" s="119"/>
      <c r="E13" s="128">
        <f>_3.02</f>
        <v>1200000</v>
      </c>
      <c r="F13" s="64"/>
      <c r="G13" s="64"/>
      <c r="H13" s="96">
        <v>1</v>
      </c>
      <c r="I13" s="168">
        <f t="shared" si="0"/>
        <v>1200000</v>
      </c>
      <c r="J13" s="31"/>
    </row>
    <row r="14" spans="1:10" ht="12.95" customHeight="1" x14ac:dyDescent="0.2">
      <c r="A14" s="267">
        <v>3</v>
      </c>
      <c r="B14" s="76" t="s">
        <v>20</v>
      </c>
      <c r="C14" s="77" t="s">
        <v>27</v>
      </c>
      <c r="D14" s="119"/>
      <c r="E14" s="129">
        <f>_3.03</f>
        <v>1000000</v>
      </c>
      <c r="F14" s="64"/>
      <c r="G14" s="64"/>
      <c r="H14" s="96">
        <v>1</v>
      </c>
      <c r="I14" s="168">
        <f t="shared" si="0"/>
        <v>1000000</v>
      </c>
      <c r="J14" s="31"/>
    </row>
    <row r="15" spans="1:10" ht="12.95" customHeight="1" x14ac:dyDescent="0.2">
      <c r="A15" s="267">
        <v>3</v>
      </c>
      <c r="B15" s="76" t="s">
        <v>21</v>
      </c>
      <c r="C15" s="77" t="s">
        <v>28</v>
      </c>
      <c r="D15" s="119"/>
      <c r="E15" s="129">
        <f>_3.04</f>
        <v>1500000</v>
      </c>
      <c r="F15" s="64"/>
      <c r="G15" s="64"/>
      <c r="H15" s="96">
        <v>1</v>
      </c>
      <c r="I15" s="168">
        <f t="shared" si="0"/>
        <v>1500000</v>
      </c>
      <c r="J15" s="31"/>
    </row>
    <row r="16" spans="1:10" ht="12.95" customHeight="1" x14ac:dyDescent="0.2">
      <c r="A16" s="267">
        <v>3</v>
      </c>
      <c r="B16" s="76" t="s">
        <v>22</v>
      </c>
      <c r="C16" s="77" t="s">
        <v>31</v>
      </c>
      <c r="D16" s="119"/>
      <c r="E16" s="129">
        <f>_3.05</f>
        <v>600000</v>
      </c>
      <c r="F16" s="64"/>
      <c r="G16" s="64"/>
      <c r="H16" s="96">
        <v>1</v>
      </c>
      <c r="I16" s="168">
        <f t="shared" si="0"/>
        <v>600000</v>
      </c>
      <c r="J16" s="31"/>
    </row>
    <row r="17" spans="1:10" ht="12.95" customHeight="1" x14ac:dyDescent="0.2">
      <c r="A17" s="267">
        <v>3</v>
      </c>
      <c r="B17" s="76" t="s">
        <v>23</v>
      </c>
      <c r="C17" s="77" t="s">
        <v>29</v>
      </c>
      <c r="D17" s="119"/>
      <c r="E17" s="129">
        <f>_3.06</f>
        <v>150000</v>
      </c>
      <c r="F17" s="64"/>
      <c r="G17" s="64"/>
      <c r="H17" s="96">
        <v>1</v>
      </c>
      <c r="I17" s="168">
        <f t="shared" si="0"/>
        <v>150000</v>
      </c>
      <c r="J17" s="31"/>
    </row>
    <row r="18" spans="1:10" ht="12.95" customHeight="1" x14ac:dyDescent="0.2">
      <c r="A18" s="267">
        <v>3</v>
      </c>
      <c r="B18" s="76" t="s">
        <v>24</v>
      </c>
      <c r="C18" s="77" t="s">
        <v>30</v>
      </c>
      <c r="D18" s="119"/>
      <c r="E18" s="129">
        <f>_3.07</f>
        <v>0</v>
      </c>
      <c r="F18" s="64"/>
      <c r="G18" s="64"/>
      <c r="H18" s="96">
        <v>0</v>
      </c>
      <c r="I18" s="168">
        <f t="shared" si="0"/>
        <v>0</v>
      </c>
      <c r="J18" s="31"/>
    </row>
    <row r="19" spans="1:10" ht="12.95" customHeight="1" x14ac:dyDescent="0.2">
      <c r="A19" s="267">
        <v>3</v>
      </c>
      <c r="B19" s="76" t="s">
        <v>25</v>
      </c>
      <c r="C19" s="77" t="s">
        <v>8</v>
      </c>
      <c r="D19" s="119"/>
      <c r="E19" s="129">
        <f>_3.08</f>
        <v>300000</v>
      </c>
      <c r="F19" s="64"/>
      <c r="G19" s="64"/>
      <c r="H19" s="96">
        <v>1</v>
      </c>
      <c r="I19" s="169">
        <f t="shared" si="0"/>
        <v>300000</v>
      </c>
      <c r="J19" s="31"/>
    </row>
    <row r="20" spans="1:10" ht="6.95" customHeight="1" x14ac:dyDescent="0.2">
      <c r="D20" s="117"/>
      <c r="E20" s="102"/>
      <c r="H20" s="97"/>
      <c r="I20" s="102"/>
      <c r="J20" s="139"/>
    </row>
    <row r="21" spans="1:10" s="9" customFormat="1" ht="12.75" customHeight="1" x14ac:dyDescent="0.2">
      <c r="A21" s="291">
        <v>4</v>
      </c>
      <c r="B21" s="291"/>
      <c r="C21" s="69" t="s">
        <v>2</v>
      </c>
      <c r="D21" s="116">
        <f>E21/$E$33</f>
        <v>0.20399999999999999</v>
      </c>
      <c r="E21" s="130">
        <f>_4</f>
        <v>6000000</v>
      </c>
      <c r="F21" s="64"/>
      <c r="G21" s="64"/>
      <c r="H21" s="96">
        <v>1</v>
      </c>
      <c r="I21" s="130">
        <f>E21*H21</f>
        <v>6000000</v>
      </c>
      <c r="J21" s="31"/>
    </row>
    <row r="22" spans="1:10" ht="6.95" customHeight="1" x14ac:dyDescent="0.2">
      <c r="B22" s="5"/>
      <c r="D22" s="117"/>
      <c r="E22" s="102"/>
      <c r="H22" s="92"/>
      <c r="I22" s="102"/>
      <c r="J22" s="30"/>
    </row>
    <row r="23" spans="1:10" s="10" customFormat="1" ht="12.95" customHeight="1" x14ac:dyDescent="0.2">
      <c r="A23" s="291">
        <v>5</v>
      </c>
      <c r="B23" s="291"/>
      <c r="C23" s="69" t="s">
        <v>9</v>
      </c>
      <c r="D23" s="116">
        <f>E23/$E$33</f>
        <v>5.6000000000000001E-2</v>
      </c>
      <c r="E23" s="132">
        <f>_5</f>
        <v>1650000</v>
      </c>
      <c r="F23" s="64"/>
      <c r="G23" s="64"/>
      <c r="H23" s="96">
        <v>0</v>
      </c>
      <c r="I23" s="130">
        <f>E23*H23</f>
        <v>0</v>
      </c>
      <c r="J23" s="31"/>
    </row>
    <row r="24" spans="1:10" ht="6.95" customHeight="1" x14ac:dyDescent="0.2">
      <c r="D24" s="117"/>
      <c r="E24" s="102"/>
      <c r="H24" s="92"/>
      <c r="I24" s="102"/>
      <c r="J24" s="31"/>
    </row>
    <row r="25" spans="1:10" s="9" customFormat="1" ht="12.95" customHeight="1" x14ac:dyDescent="0.2">
      <c r="A25" s="291">
        <v>6</v>
      </c>
      <c r="B25" s="291"/>
      <c r="C25" s="69" t="s">
        <v>3</v>
      </c>
      <c r="D25" s="116">
        <f>E25/$E$33</f>
        <v>1.7000000000000001E-2</v>
      </c>
      <c r="E25" s="130">
        <f>_6</f>
        <v>500000</v>
      </c>
      <c r="F25" s="64"/>
      <c r="G25" s="64"/>
      <c r="H25" s="96">
        <v>0</v>
      </c>
      <c r="I25" s="130">
        <f>E25*H25</f>
        <v>0</v>
      </c>
      <c r="J25" s="31"/>
    </row>
    <row r="26" spans="1:10" ht="6.95" customHeight="1" x14ac:dyDescent="0.2">
      <c r="B26" s="4"/>
      <c r="D26" s="120"/>
      <c r="E26" s="102"/>
      <c r="H26" s="92"/>
      <c r="I26" s="102"/>
      <c r="J26" s="31"/>
    </row>
    <row r="27" spans="1:10" s="10" customFormat="1" ht="12.95" customHeight="1" x14ac:dyDescent="0.2">
      <c r="A27" s="291">
        <v>7</v>
      </c>
      <c r="B27" s="291"/>
      <c r="C27" s="69" t="s">
        <v>78</v>
      </c>
      <c r="D27" s="116">
        <f>E27/$E$33</f>
        <v>0.17</v>
      </c>
      <c r="E27" s="130">
        <f>_7</f>
        <v>5000000</v>
      </c>
      <c r="F27" s="64"/>
      <c r="G27" s="64"/>
      <c r="H27" s="96">
        <v>0</v>
      </c>
      <c r="I27" s="130">
        <f>E27*H27</f>
        <v>0</v>
      </c>
      <c r="J27" s="31"/>
    </row>
    <row r="28" spans="1:10" ht="6.95" customHeight="1" x14ac:dyDescent="0.2">
      <c r="D28" s="120"/>
      <c r="E28" s="102"/>
      <c r="H28" s="92"/>
      <c r="I28" s="102"/>
      <c r="J28" s="31"/>
    </row>
    <row r="29" spans="1:10" s="10" customFormat="1" ht="12.95" customHeight="1" x14ac:dyDescent="0.2">
      <c r="A29" s="291">
        <v>8</v>
      </c>
      <c r="B29" s="291"/>
      <c r="C29" s="69" t="s">
        <v>111</v>
      </c>
      <c r="D29" s="116">
        <f>E29/$E$33</f>
        <v>1E-3</v>
      </c>
      <c r="E29" s="130">
        <f>_8</f>
        <v>36000</v>
      </c>
      <c r="F29" s="64"/>
      <c r="G29" s="64"/>
      <c r="H29" s="96">
        <v>0</v>
      </c>
      <c r="I29" s="130">
        <f>E29*H29</f>
        <v>0</v>
      </c>
      <c r="J29" s="31"/>
    </row>
    <row r="30" spans="1:10" ht="6.95" customHeight="1" x14ac:dyDescent="0.2">
      <c r="D30" s="120"/>
      <c r="E30" s="102"/>
      <c r="H30" s="97"/>
      <c r="I30" s="102"/>
      <c r="J30" s="139"/>
    </row>
    <row r="31" spans="1:10" s="10" customFormat="1" ht="12.95" customHeight="1" x14ac:dyDescent="0.2">
      <c r="A31" s="291">
        <v>9</v>
      </c>
      <c r="B31" s="291"/>
      <c r="C31" s="69" t="s">
        <v>10</v>
      </c>
      <c r="D31" s="116">
        <f>E31/$E$33</f>
        <v>5.3999999999999999E-2</v>
      </c>
      <c r="E31" s="130">
        <f>_9</f>
        <v>1600000</v>
      </c>
      <c r="F31" s="64"/>
      <c r="G31" s="64"/>
      <c r="H31" s="96">
        <v>0.1</v>
      </c>
      <c r="I31" s="130">
        <f>E31*H31</f>
        <v>160000</v>
      </c>
      <c r="J31" s="31"/>
    </row>
    <row r="32" spans="1:10" ht="12" customHeight="1" x14ac:dyDescent="0.2">
      <c r="B32" s="4"/>
      <c r="D32" s="29"/>
      <c r="H32" s="1"/>
      <c r="I32" s="1"/>
      <c r="J32" s="1"/>
    </row>
    <row r="33" spans="1:11" ht="12.95" customHeight="1" x14ac:dyDescent="0.25">
      <c r="A33" s="190" t="s">
        <v>12</v>
      </c>
      <c r="B33" s="191"/>
      <c r="C33" s="191"/>
      <c r="D33" s="222">
        <f>SUM(D7:D31)</f>
        <v>1</v>
      </c>
      <c r="E33" s="82">
        <f>_EK</f>
        <v>29451000</v>
      </c>
      <c r="F33" s="55"/>
      <c r="G33" s="55"/>
      <c r="H33" s="163"/>
      <c r="I33" s="20"/>
      <c r="J33" s="20"/>
    </row>
    <row r="34" spans="1:11" ht="3.95" customHeight="1" x14ac:dyDescent="0.2">
      <c r="D34" s="29"/>
      <c r="F34" s="8"/>
      <c r="G34" s="8"/>
      <c r="H34" s="1"/>
      <c r="I34" s="1"/>
      <c r="J34" s="20"/>
    </row>
    <row r="35" spans="1:11" ht="12.95" customHeight="1" x14ac:dyDescent="0.2">
      <c r="A35" s="263"/>
      <c r="B35" s="68" t="s">
        <v>91</v>
      </c>
      <c r="C35" s="69"/>
      <c r="D35" s="116"/>
      <c r="E35" s="130">
        <f>_mvB</f>
        <v>150000</v>
      </c>
      <c r="F35" s="64"/>
      <c r="G35" s="64"/>
      <c r="H35" s="220">
        <v>0</v>
      </c>
      <c r="I35" s="130">
        <f>E35*H35</f>
        <v>0</v>
      </c>
      <c r="J35" s="20"/>
    </row>
    <row r="36" spans="1:11" ht="3.95" customHeight="1" x14ac:dyDescent="0.2">
      <c r="E36" s="29"/>
    </row>
    <row r="37" spans="1:11" s="13" customFormat="1" ht="12.95" customHeight="1" x14ac:dyDescent="0.3">
      <c r="A37" s="192" t="s">
        <v>32</v>
      </c>
      <c r="B37" s="193"/>
      <c r="C37" s="193"/>
      <c r="D37" s="171"/>
      <c r="E37" s="171"/>
      <c r="F37" s="171"/>
      <c r="G37" s="171"/>
      <c r="H37" s="172"/>
      <c r="I37" s="173">
        <f>SUM(I7:I35)</f>
        <v>20810000</v>
      </c>
      <c r="J37" s="276"/>
    </row>
    <row r="38" spans="1:11" s="14" customFormat="1" ht="12.95" customHeight="1" x14ac:dyDescent="0.25">
      <c r="B38" s="15"/>
      <c r="H38" s="143"/>
      <c r="I38" s="143"/>
      <c r="J38" s="143"/>
    </row>
    <row r="39" spans="1:11" ht="12.75" customHeight="1" x14ac:dyDescent="0.2">
      <c r="A39" s="144" t="s">
        <v>103</v>
      </c>
      <c r="B39" s="144"/>
      <c r="C39" s="145"/>
      <c r="D39" s="145"/>
      <c r="E39" s="145"/>
      <c r="F39" s="145"/>
      <c r="G39" s="145"/>
      <c r="H39" s="144"/>
      <c r="I39" s="225"/>
      <c r="J39" s="147"/>
    </row>
    <row r="40" spans="1:11" ht="6.75" customHeight="1" x14ac:dyDescent="0.2">
      <c r="A40" s="146"/>
      <c r="B40" s="146"/>
      <c r="C40" s="146"/>
      <c r="D40" s="146"/>
      <c r="E40" s="146"/>
      <c r="F40" s="146"/>
      <c r="G40" s="146"/>
      <c r="I40" s="224"/>
    </row>
    <row r="41" spans="1:11" ht="12.75" customHeight="1" x14ac:dyDescent="0.2">
      <c r="A41" s="147" t="s">
        <v>62</v>
      </c>
      <c r="B41" s="146"/>
      <c r="C41" s="146"/>
      <c r="D41" s="146"/>
      <c r="E41" s="146"/>
      <c r="F41" s="146"/>
      <c r="G41" s="146"/>
      <c r="I41" s="224"/>
    </row>
    <row r="42" spans="1:11" ht="12.75" customHeight="1" x14ac:dyDescent="0.2">
      <c r="A42" s="16"/>
      <c r="B42" s="16"/>
      <c r="E42" s="148" t="s">
        <v>5</v>
      </c>
      <c r="F42" s="149" t="s">
        <v>4</v>
      </c>
      <c r="H42" s="293" t="s">
        <v>114</v>
      </c>
      <c r="I42" s="293"/>
      <c r="J42" s="277"/>
    </row>
    <row r="43" spans="1:11" ht="12.75" customHeight="1" x14ac:dyDescent="0.2">
      <c r="B43" s="17" t="s">
        <v>39</v>
      </c>
      <c r="C43" s="32"/>
      <c r="D43" s="32"/>
      <c r="E43" s="98">
        <v>22</v>
      </c>
      <c r="F43" s="150" t="s">
        <v>48</v>
      </c>
      <c r="H43" s="239"/>
      <c r="I43" s="240"/>
      <c r="J43" s="277"/>
    </row>
    <row r="44" spans="1:11" ht="12.75" customHeight="1" x14ac:dyDescent="0.2">
      <c r="B44" s="18" t="s">
        <v>40</v>
      </c>
      <c r="C44" s="33"/>
      <c r="D44" s="33"/>
      <c r="E44" s="99">
        <v>2</v>
      </c>
      <c r="F44" s="151" t="s">
        <v>6</v>
      </c>
      <c r="H44" s="241"/>
      <c r="I44" s="242"/>
      <c r="J44" s="277"/>
    </row>
    <row r="45" spans="1:11" ht="12.75" customHeight="1" x14ac:dyDescent="0.2">
      <c r="B45" s="18" t="s">
        <v>41</v>
      </c>
      <c r="C45" s="33"/>
      <c r="D45" s="33"/>
      <c r="E45" s="99">
        <v>1</v>
      </c>
      <c r="F45" s="151" t="s">
        <v>6</v>
      </c>
      <c r="H45" s="241"/>
      <c r="I45" s="242"/>
      <c r="J45" s="277"/>
    </row>
    <row r="46" spans="1:11" ht="12.75" customHeight="1" x14ac:dyDescent="0.2">
      <c r="B46" s="18" t="s">
        <v>42</v>
      </c>
      <c r="C46" s="33"/>
      <c r="D46" s="33"/>
      <c r="E46" s="99">
        <v>1</v>
      </c>
      <c r="F46" s="151" t="s">
        <v>6</v>
      </c>
      <c r="H46" s="243"/>
      <c r="I46" s="244"/>
      <c r="J46" s="277"/>
    </row>
    <row r="47" spans="1:11" ht="3" customHeight="1" x14ac:dyDescent="0.2">
      <c r="A47" s="16"/>
      <c r="B47" s="16"/>
      <c r="E47" s="152"/>
      <c r="F47" s="152"/>
      <c r="I47" s="226"/>
      <c r="J47" s="277"/>
    </row>
    <row r="48" spans="1:11" ht="12.75" customHeight="1" x14ac:dyDescent="0.2">
      <c r="A48" s="16"/>
      <c r="B48" s="16"/>
      <c r="C48" s="298" t="s">
        <v>133</v>
      </c>
      <c r="D48" s="299"/>
      <c r="E48" s="99">
        <v>0</v>
      </c>
      <c r="F48" s="151" t="s">
        <v>134</v>
      </c>
      <c r="H48" s="241"/>
      <c r="I48" s="242"/>
      <c r="J48" s="1"/>
      <c r="K48" s="277"/>
    </row>
    <row r="49" spans="1:11" ht="12.75" customHeight="1" x14ac:dyDescent="0.2">
      <c r="A49" s="16"/>
      <c r="B49" s="16"/>
      <c r="C49" s="298" t="s">
        <v>135</v>
      </c>
      <c r="D49" s="299"/>
      <c r="E49" s="99">
        <v>0</v>
      </c>
      <c r="F49" s="151" t="s">
        <v>136</v>
      </c>
      <c r="H49" s="243"/>
      <c r="I49" s="244"/>
      <c r="J49" s="1"/>
      <c r="K49" s="277"/>
    </row>
    <row r="50" spans="1:11" ht="4.5" customHeight="1" x14ac:dyDescent="0.2">
      <c r="A50" s="16"/>
      <c r="B50" s="16"/>
      <c r="E50" s="152"/>
      <c r="F50" s="152"/>
      <c r="I50" s="226"/>
      <c r="J50" s="277"/>
    </row>
    <row r="51" spans="1:11" ht="12.75" customHeight="1" x14ac:dyDescent="0.2">
      <c r="B51" s="16" t="s">
        <v>38</v>
      </c>
      <c r="C51" s="153"/>
      <c r="D51" s="154"/>
      <c r="E51" s="155">
        <f>SUM(E43:E50)</f>
        <v>26</v>
      </c>
      <c r="F51" s="154"/>
      <c r="I51" s="226"/>
      <c r="J51" s="1"/>
    </row>
    <row r="52" spans="1:11" ht="12.95" customHeight="1" x14ac:dyDescent="0.2">
      <c r="B52" s="1"/>
      <c r="C52" s="154"/>
      <c r="D52" s="154"/>
      <c r="E52" s="154"/>
      <c r="F52" s="154"/>
      <c r="G52" s="154"/>
      <c r="I52" s="226"/>
      <c r="J52" s="1"/>
    </row>
    <row r="53" spans="1:11" ht="12.95" customHeight="1" x14ac:dyDescent="0.2">
      <c r="A53" s="147" t="s">
        <v>15</v>
      </c>
      <c r="B53" s="146"/>
      <c r="C53" s="146"/>
      <c r="D53" s="146"/>
      <c r="E53" s="146"/>
      <c r="F53" s="146"/>
      <c r="G53" s="146"/>
      <c r="H53" s="223"/>
      <c r="I53" s="1"/>
    </row>
    <row r="54" spans="1:11" ht="4.5" customHeight="1" x14ac:dyDescent="0.2">
      <c r="A54" s="147"/>
      <c r="B54" s="147"/>
      <c r="C54" s="147"/>
      <c r="I54" s="1"/>
    </row>
    <row r="55" spans="1:11" ht="12.75" customHeight="1" x14ac:dyDescent="0.2">
      <c r="A55" s="156" t="s">
        <v>11</v>
      </c>
      <c r="B55" s="1"/>
      <c r="E55" s="174">
        <f>I37</f>
        <v>20810000</v>
      </c>
      <c r="H55" s="292" t="str">
        <f>IF(E55&lt;500000,"! gemäß BP.9 (3): Wenn die Bemessungsgrundlage niedriger ist als 500.000 €, sollte der Ermittlungsweg über Abschätzung des Büro- / Personalaufwandes gewählt werden","")</f>
        <v/>
      </c>
      <c r="I55" s="292"/>
    </row>
    <row r="56" spans="1:11" ht="8.1" customHeight="1" x14ac:dyDescent="0.2">
      <c r="A56" s="16"/>
      <c r="B56" s="16"/>
      <c r="C56" s="16"/>
      <c r="D56" s="16"/>
      <c r="E56" s="153"/>
      <c r="H56" s="292"/>
      <c r="I56" s="292"/>
    </row>
    <row r="57" spans="1:11" ht="13.5" customHeight="1" x14ac:dyDescent="0.3">
      <c r="A57" s="21" t="s">
        <v>54</v>
      </c>
      <c r="B57" s="21"/>
      <c r="E57" s="195">
        <f>0.013*E51+0.923</f>
        <v>1.26</v>
      </c>
      <c r="F57" s="101"/>
      <c r="H57" s="292"/>
      <c r="I57" s="292"/>
    </row>
    <row r="58" spans="1:11" ht="4.5" customHeight="1" x14ac:dyDescent="0.2">
      <c r="A58" s="16"/>
      <c r="B58" s="16"/>
      <c r="E58" s="26"/>
      <c r="F58" s="101"/>
      <c r="H58" s="292"/>
      <c r="I58" s="292"/>
    </row>
    <row r="59" spans="1:11" s="269" customFormat="1" ht="18" customHeight="1" x14ac:dyDescent="0.25">
      <c r="A59" s="16" t="s">
        <v>55</v>
      </c>
      <c r="B59" s="16"/>
      <c r="E59" s="270">
        <f>ROUND(506.2538*E55^(-0.5074)*E57/100,6)</f>
        <v>1.2340000000000001E-3</v>
      </c>
      <c r="F59" s="271" t="s">
        <v>74</v>
      </c>
      <c r="H59" s="292"/>
      <c r="I59" s="292"/>
      <c r="J59" s="281"/>
    </row>
    <row r="60" spans="1:11" ht="13.5" customHeight="1" x14ac:dyDescent="0.2">
      <c r="A60" s="16" t="s">
        <v>92</v>
      </c>
      <c r="B60" s="16"/>
      <c r="E60" s="176">
        <v>0</v>
      </c>
      <c r="F60" s="194"/>
      <c r="H60" s="292"/>
      <c r="I60" s="292"/>
    </row>
    <row r="61" spans="1:11" ht="8.1" customHeight="1" x14ac:dyDescent="0.2">
      <c r="A61" s="16"/>
      <c r="B61" s="16"/>
      <c r="E61" s="157"/>
      <c r="F61" s="157"/>
      <c r="H61" s="292"/>
      <c r="I61" s="292"/>
    </row>
    <row r="62" spans="1:11" ht="15" customHeight="1" x14ac:dyDescent="0.3">
      <c r="A62" s="19" t="s">
        <v>95</v>
      </c>
      <c r="B62" s="17"/>
      <c r="C62" s="158"/>
      <c r="D62" s="158"/>
      <c r="E62" s="159"/>
      <c r="F62" s="227">
        <f>E55*E59*(1+E60)</f>
        <v>25680</v>
      </c>
    </row>
    <row r="63" spans="1:11" ht="6" customHeight="1" x14ac:dyDescent="0.2">
      <c r="A63" s="21"/>
      <c r="B63" s="16"/>
      <c r="C63" s="146"/>
      <c r="D63" s="146"/>
      <c r="E63" s="160"/>
      <c r="F63" s="160"/>
    </row>
    <row r="64" spans="1:11" ht="12.95" customHeight="1" x14ac:dyDescent="0.2">
      <c r="A64" s="21"/>
      <c r="B64" s="16"/>
      <c r="C64" s="146"/>
      <c r="D64" s="238" t="s">
        <v>98</v>
      </c>
      <c r="E64" s="237" t="s">
        <v>5</v>
      </c>
      <c r="F64" s="160"/>
      <c r="I64" s="27"/>
    </row>
    <row r="65" spans="1:13" ht="12.75" customHeight="1" x14ac:dyDescent="0.25">
      <c r="A65" s="146" t="s">
        <v>68</v>
      </c>
      <c r="B65" s="161"/>
      <c r="D65" s="235">
        <v>0.03</v>
      </c>
      <c r="E65" s="175">
        <v>0.03</v>
      </c>
      <c r="F65" s="198">
        <f t="shared" ref="F65:F74" si="1">$F$62*E65</f>
        <v>770</v>
      </c>
      <c r="I65"/>
    </row>
    <row r="66" spans="1:13" ht="12.75" customHeight="1" x14ac:dyDescent="0.25">
      <c r="A66" s="146" t="s">
        <v>33</v>
      </c>
      <c r="B66" s="161"/>
      <c r="D66" s="235">
        <v>0.17</v>
      </c>
      <c r="E66" s="176">
        <v>0.17</v>
      </c>
      <c r="F66" s="198">
        <f t="shared" si="1"/>
        <v>4366</v>
      </c>
      <c r="I66"/>
    </row>
    <row r="67" spans="1:13" ht="12.75" customHeight="1" x14ac:dyDescent="0.25">
      <c r="A67" s="146" t="s">
        <v>34</v>
      </c>
      <c r="B67" s="161"/>
      <c r="D67" s="235">
        <v>0.35</v>
      </c>
      <c r="E67" s="176">
        <v>0.35</v>
      </c>
      <c r="F67" s="198">
        <f t="shared" si="1"/>
        <v>8988</v>
      </c>
      <c r="I67"/>
    </row>
    <row r="68" spans="1:13" ht="12.75" customHeight="1" x14ac:dyDescent="0.25">
      <c r="A68" s="146" t="s">
        <v>35</v>
      </c>
      <c r="B68" s="161"/>
      <c r="D68" s="235">
        <v>0.05</v>
      </c>
      <c r="E68" s="176">
        <v>0.05</v>
      </c>
      <c r="F68" s="198">
        <f t="shared" si="1"/>
        <v>1284</v>
      </c>
      <c r="I68"/>
    </row>
    <row r="69" spans="1:13" ht="12.75" customHeight="1" x14ac:dyDescent="0.25">
      <c r="A69" s="146" t="s">
        <v>51</v>
      </c>
      <c r="B69" s="161"/>
      <c r="D69" s="235">
        <v>0.27</v>
      </c>
      <c r="E69" s="176">
        <v>0.27</v>
      </c>
      <c r="F69" s="198">
        <f t="shared" si="1"/>
        <v>6934</v>
      </c>
      <c r="I69"/>
    </row>
    <row r="70" spans="1:13" ht="12.75" customHeight="1" x14ac:dyDescent="0.25">
      <c r="A70" s="146" t="s">
        <v>36</v>
      </c>
      <c r="B70" s="161"/>
      <c r="D70" s="235">
        <v>0.02</v>
      </c>
      <c r="E70" s="176">
        <v>0.02</v>
      </c>
      <c r="F70" s="198">
        <f t="shared" si="1"/>
        <v>514</v>
      </c>
      <c r="I70"/>
    </row>
    <row r="71" spans="1:13" ht="12.75" customHeight="1" x14ac:dyDescent="0.25">
      <c r="A71" s="146" t="s">
        <v>49</v>
      </c>
      <c r="B71" s="161"/>
      <c r="D71" s="235">
        <v>0.02</v>
      </c>
      <c r="E71" s="176">
        <v>0.02</v>
      </c>
      <c r="F71" s="198">
        <f t="shared" si="1"/>
        <v>514</v>
      </c>
      <c r="I71"/>
    </row>
    <row r="72" spans="1:13" ht="12.75" customHeight="1" x14ac:dyDescent="0.25">
      <c r="A72" s="146" t="s">
        <v>46</v>
      </c>
      <c r="B72" s="161"/>
      <c r="D72" s="235">
        <v>0.09</v>
      </c>
      <c r="E72" s="176">
        <v>0.09</v>
      </c>
      <c r="F72" s="198">
        <f t="shared" si="1"/>
        <v>2311</v>
      </c>
      <c r="I72"/>
    </row>
    <row r="73" spans="1:13" ht="12.75" customHeight="1" x14ac:dyDescent="0.25">
      <c r="A73" s="146" t="s">
        <v>52</v>
      </c>
      <c r="B73" s="161"/>
      <c r="D73" s="235">
        <v>0</v>
      </c>
      <c r="E73" s="176">
        <v>0</v>
      </c>
      <c r="F73" s="198">
        <f t="shared" si="1"/>
        <v>0</v>
      </c>
      <c r="I73"/>
    </row>
    <row r="74" spans="1:13" ht="12.75" customHeight="1" x14ac:dyDescent="0.25">
      <c r="A74" s="158" t="s">
        <v>47</v>
      </c>
      <c r="B74" s="162"/>
      <c r="C74" s="32"/>
      <c r="D74" s="236">
        <v>0</v>
      </c>
      <c r="E74" s="177">
        <v>0</v>
      </c>
      <c r="F74" s="228">
        <f t="shared" si="1"/>
        <v>0</v>
      </c>
      <c r="G74" s="32"/>
      <c r="H74" s="39"/>
      <c r="I74" s="268"/>
    </row>
    <row r="75" spans="1:13" s="14" customFormat="1" ht="18.600000000000001" customHeight="1" x14ac:dyDescent="0.25">
      <c r="A75" s="250" t="s">
        <v>37</v>
      </c>
      <c r="B75" s="251"/>
      <c r="D75" s="259">
        <f>SUM(D65:D74)</f>
        <v>1</v>
      </c>
      <c r="E75" s="252">
        <f>SUM(E65:E74)</f>
        <v>1</v>
      </c>
      <c r="F75" s="253">
        <f>SUM(F65:F74)</f>
        <v>25681</v>
      </c>
      <c r="H75" s="254"/>
      <c r="I75" s="255"/>
    </row>
    <row r="76" spans="1:13" ht="12.75" customHeight="1" x14ac:dyDescent="0.25">
      <c r="A76" s="301" t="s">
        <v>124</v>
      </c>
      <c r="B76" s="161"/>
      <c r="D76" s="235">
        <v>0.02</v>
      </c>
      <c r="E76" s="248">
        <v>0</v>
      </c>
      <c r="F76" s="224">
        <f>$F$62*E76</f>
        <v>0</v>
      </c>
      <c r="I76"/>
      <c r="J76" s="1"/>
    </row>
    <row r="77" spans="1:13" ht="12.75" customHeight="1" x14ac:dyDescent="0.25">
      <c r="A77" s="301" t="s">
        <v>131</v>
      </c>
      <c r="B77" s="162"/>
      <c r="C77" s="32"/>
      <c r="D77" s="236">
        <v>0.02</v>
      </c>
      <c r="E77" s="177">
        <v>0</v>
      </c>
      <c r="F77" s="249">
        <f>$F$62*E77</f>
        <v>0</v>
      </c>
      <c r="G77" s="32"/>
      <c r="H77" s="39"/>
      <c r="I77" s="268"/>
      <c r="J77" s="1"/>
    </row>
    <row r="78" spans="1:13" ht="13.5" customHeight="1" x14ac:dyDescent="0.2">
      <c r="A78" s="289" t="s">
        <v>132</v>
      </c>
      <c r="B78" s="289"/>
      <c r="C78" s="289"/>
      <c r="D78" s="258">
        <f>SUM(D75:D77)</f>
        <v>1.04</v>
      </c>
      <c r="E78" s="245">
        <f>E75+SUM(E76:E77)</f>
        <v>1</v>
      </c>
      <c r="F78" s="246">
        <f>F75+SUM(F76:F77)</f>
        <v>25681</v>
      </c>
      <c r="I78" s="91">
        <f>F78</f>
        <v>25681</v>
      </c>
    </row>
    <row r="79" spans="1:13" ht="12.75" customHeight="1" x14ac:dyDescent="0.25">
      <c r="E79" s="231"/>
      <c r="I79"/>
    </row>
    <row r="80" spans="1:13" ht="12.75" customHeight="1" x14ac:dyDescent="0.25">
      <c r="A80" s="30" t="s">
        <v>79</v>
      </c>
      <c r="E80" s="196">
        <v>0</v>
      </c>
      <c r="F80" s="197">
        <v>0</v>
      </c>
      <c r="I80" s="91">
        <f>E80*F80</f>
        <v>0</v>
      </c>
      <c r="K80"/>
      <c r="L80"/>
      <c r="M80"/>
    </row>
    <row r="81" spans="1:9" ht="12.75" customHeight="1" x14ac:dyDescent="0.25">
      <c r="F81" s="231"/>
      <c r="I81"/>
    </row>
    <row r="82" spans="1:9" s="21" customFormat="1" ht="12.75" x14ac:dyDescent="0.2">
      <c r="A82" s="86" t="s">
        <v>96</v>
      </c>
      <c r="B82" s="88"/>
      <c r="C82" s="88"/>
      <c r="D82" s="89"/>
      <c r="E82" s="90"/>
      <c r="F82" s="232"/>
      <c r="G82" s="89"/>
      <c r="H82" s="89"/>
      <c r="I82" s="91">
        <f>I78+I80</f>
        <v>25681</v>
      </c>
    </row>
    <row r="83" spans="1:9" s="21" customFormat="1" ht="4.5" customHeight="1" x14ac:dyDescent="0.2">
      <c r="B83" s="23"/>
      <c r="C83" s="23"/>
      <c r="D83" s="40"/>
      <c r="E83" s="41"/>
      <c r="F83" s="178"/>
      <c r="G83" s="42"/>
      <c r="I83" s="83"/>
    </row>
    <row r="84" spans="1:9" s="21" customFormat="1" ht="12.75" x14ac:dyDescent="0.2">
      <c r="A84" s="43" t="s">
        <v>13</v>
      </c>
      <c r="B84" s="23"/>
      <c r="C84" s="23"/>
      <c r="D84" s="41"/>
      <c r="E84" s="41"/>
      <c r="F84" s="179">
        <v>0.04</v>
      </c>
      <c r="G84" s="42"/>
      <c r="I84" s="84">
        <f>ROUND(I82*F84,2)</f>
        <v>1027</v>
      </c>
    </row>
    <row r="85" spans="1:9" s="21" customFormat="1" ht="3" customHeight="1" x14ac:dyDescent="0.2">
      <c r="A85" s="44"/>
      <c r="B85" s="46"/>
      <c r="C85" s="46"/>
      <c r="D85" s="49"/>
      <c r="E85" s="49"/>
      <c r="F85" s="180"/>
      <c r="G85" s="56"/>
      <c r="H85" s="44"/>
      <c r="I85" s="85"/>
    </row>
    <row r="86" spans="1:9" s="21" customFormat="1" ht="3" customHeight="1" x14ac:dyDescent="0.2">
      <c r="B86" s="23"/>
      <c r="C86" s="23"/>
      <c r="D86" s="50"/>
      <c r="E86" s="50"/>
      <c r="F86" s="181"/>
      <c r="G86" s="57"/>
      <c r="H86" s="51"/>
      <c r="I86" s="83"/>
    </row>
    <row r="87" spans="1:9" s="21" customFormat="1" ht="12.75" x14ac:dyDescent="0.2">
      <c r="A87" s="47" t="s">
        <v>64</v>
      </c>
      <c r="B87" s="48"/>
      <c r="C87" s="48"/>
      <c r="D87" s="24"/>
      <c r="E87" s="24"/>
      <c r="F87" s="178"/>
      <c r="G87" s="42"/>
      <c r="I87" s="84">
        <f>I82+I84</f>
        <v>26708</v>
      </c>
    </row>
    <row r="88" spans="1:9" s="21" customFormat="1" ht="12.75" x14ac:dyDescent="0.2">
      <c r="A88" s="21" t="s">
        <v>14</v>
      </c>
      <c r="C88" s="23"/>
      <c r="D88" s="24"/>
      <c r="E88" s="24"/>
      <c r="F88" s="25">
        <v>0.2</v>
      </c>
      <c r="G88" s="25"/>
      <c r="I88" s="84">
        <f>ROUND(I87*F88,2)</f>
        <v>5342</v>
      </c>
    </row>
    <row r="89" spans="1:9" s="21" customFormat="1" ht="3" customHeight="1" x14ac:dyDescent="0.2">
      <c r="B89" s="23"/>
      <c r="C89" s="23"/>
      <c r="D89" s="24"/>
      <c r="E89" s="24"/>
      <c r="F89" s="42"/>
      <c r="G89" s="42"/>
      <c r="I89" s="83"/>
    </row>
    <row r="90" spans="1:9" s="21" customFormat="1" ht="12.75" x14ac:dyDescent="0.2">
      <c r="A90" s="182" t="s">
        <v>56</v>
      </c>
      <c r="B90" s="183"/>
      <c r="C90" s="183"/>
      <c r="D90" s="184"/>
      <c r="E90" s="185"/>
      <c r="F90" s="186"/>
      <c r="G90" s="186"/>
      <c r="H90" s="184"/>
      <c r="I90" s="187">
        <f>SUM(I86:I88)</f>
        <v>32050</v>
      </c>
    </row>
    <row r="91" spans="1:9" ht="5.0999999999999996" customHeight="1" x14ac:dyDescent="0.2"/>
    <row r="92" spans="1:9" ht="12.75" x14ac:dyDescent="0.2">
      <c r="A92" s="188" t="s">
        <v>75</v>
      </c>
      <c r="F92" s="233">
        <f>I87/E33</f>
        <v>9.0700000000000004E-4</v>
      </c>
    </row>
  </sheetData>
  <sheetProtection algorithmName="SHA-512" hashValue="pYpNRSrwaDpBC25zyTirTCnn4yHRkIoN55mL3xnuxo0F1OgeYq3Ccc6IJilpDfoT4wqDeB2WN/QW97mO0R5SWw==" saltValue="cqy+4Ir8aGZ/3nyvyf3+DQ==" spinCount="100000" sheet="1" objects="1" scenarios="1"/>
  <mergeCells count="13">
    <mergeCell ref="A78:C78"/>
    <mergeCell ref="H55:I61"/>
    <mergeCell ref="H2:I2"/>
    <mergeCell ref="A9:B9"/>
    <mergeCell ref="A7:B7"/>
    <mergeCell ref="H42:I42"/>
    <mergeCell ref="A11:B11"/>
    <mergeCell ref="A23:B23"/>
    <mergeCell ref="A21:B21"/>
    <mergeCell ref="A31:B31"/>
    <mergeCell ref="A29:B29"/>
    <mergeCell ref="A27:B27"/>
    <mergeCell ref="A25:B25"/>
  </mergeCells>
  <pageMargins left="0.70866141732283472" right="0.70866141732283472" top="0.74803149606299213" bottom="0.74803149606299213" header="0.31496062992125984" footer="0.31496062992125984"/>
  <pageSetup paperSize="9" scale="72" fitToWidth="0" fitToHeight="0" pageOrder="overThenDown" orientation="portrait" r:id="rId1"/>
  <headerFooter>
    <oddHeader>&amp;L&amp;"Arial,Fett"&amp;K01+027Angebot &amp;A
&amp;"Arial,Standard"nach VM.BP+NH.2023&amp;R&amp;"Arial,Standard"&amp;K01+028Version 1
Stand: 15.09.2023</oddHeader>
    <oddFooter>&amp;L&amp;"Arial,Fett"&amp;K01+039LM.VM.2023 &amp;"Arial,Standard" |  Bauphysik &amp;A  |  Angebotsformular&amp;R&amp;"Arial,Standard"&amp;K01+039&amp;P/&amp;N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Scroll Bar 1">
              <controlPr locked="0" defaultSize="0" autoPict="0">
                <anchor moveWithCells="1">
                  <from>
                    <xdr:col>7</xdr:col>
                    <xdr:colOff>28575</xdr:colOff>
                    <xdr:row>42</xdr:row>
                    <xdr:rowOff>19050</xdr:rowOff>
                  </from>
                  <to>
                    <xdr:col>8</xdr:col>
                    <xdr:colOff>1028700</xdr:colOff>
                    <xdr:row>42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Scroll Bar 2">
              <controlPr defaultSize="0" autoPict="0">
                <anchor moveWithCells="1">
                  <from>
                    <xdr:col>7</xdr:col>
                    <xdr:colOff>28575</xdr:colOff>
                    <xdr:row>43</xdr:row>
                    <xdr:rowOff>19050</xdr:rowOff>
                  </from>
                  <to>
                    <xdr:col>8</xdr:col>
                    <xdr:colOff>1028700</xdr:colOff>
                    <xdr:row>43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Scroll Bar 4">
              <controlPr defaultSize="0" autoPict="0">
                <anchor moveWithCells="1">
                  <from>
                    <xdr:col>7</xdr:col>
                    <xdr:colOff>28575</xdr:colOff>
                    <xdr:row>44</xdr:row>
                    <xdr:rowOff>28575</xdr:rowOff>
                  </from>
                  <to>
                    <xdr:col>8</xdr:col>
                    <xdr:colOff>1028700</xdr:colOff>
                    <xdr:row>44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Scroll Bar 5">
              <controlPr locked="0" defaultSize="0" autoPict="0">
                <anchor moveWithCells="1">
                  <from>
                    <xdr:col>7</xdr:col>
                    <xdr:colOff>28575</xdr:colOff>
                    <xdr:row>45</xdr:row>
                    <xdr:rowOff>28575</xdr:rowOff>
                  </from>
                  <to>
                    <xdr:col>8</xdr:col>
                    <xdr:colOff>1028700</xdr:colOff>
                    <xdr:row>45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8" name="Scroll Bar 12">
              <controlPr locked="0" defaultSize="0" autoPict="0">
                <anchor moveWithCells="1">
                  <from>
                    <xdr:col>7</xdr:col>
                    <xdr:colOff>28575</xdr:colOff>
                    <xdr:row>47</xdr:row>
                    <xdr:rowOff>28575</xdr:rowOff>
                  </from>
                  <to>
                    <xdr:col>8</xdr:col>
                    <xdr:colOff>1028700</xdr:colOff>
                    <xdr:row>47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9" name="Scroll Bar 13">
              <controlPr locked="0" defaultSize="0" autoPict="0">
                <anchor moveWithCells="1">
                  <from>
                    <xdr:col>7</xdr:col>
                    <xdr:colOff>28575</xdr:colOff>
                    <xdr:row>48</xdr:row>
                    <xdr:rowOff>28575</xdr:rowOff>
                  </from>
                  <to>
                    <xdr:col>8</xdr:col>
                    <xdr:colOff>1028700</xdr:colOff>
                    <xdr:row>48</xdr:row>
                    <xdr:rowOff>133350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3"/>
  <dimension ref="A1:M93"/>
  <sheetViews>
    <sheetView showGridLines="0" zoomScaleNormal="100" zoomScaleSheetLayoutView="85" zoomScalePageLayoutView="85" workbookViewId="0">
      <selection activeCell="K63" sqref="K63"/>
    </sheetView>
  </sheetViews>
  <sheetFormatPr baseColWidth="10" defaultColWidth="11.5703125" defaultRowHeight="12" x14ac:dyDescent="0.2"/>
  <cols>
    <col min="1" max="1" width="1.5703125" style="1" customWidth="1"/>
    <col min="2" max="2" width="3.28515625" style="6" customWidth="1"/>
    <col min="3" max="3" width="38.7109375" style="1" customWidth="1"/>
    <col min="4" max="4" width="8.140625" style="1" customWidth="1"/>
    <col min="5" max="5" width="14.7109375" style="1" customWidth="1"/>
    <col min="6" max="6" width="15.7109375" style="1" customWidth="1"/>
    <col min="7" max="7" width="8.28515625" style="1" customWidth="1"/>
    <col min="8" max="8" width="14.7109375" style="7" customWidth="1" collapsed="1"/>
    <col min="9" max="9" width="15.7109375" style="8" customWidth="1"/>
    <col min="10" max="10" width="2.7109375" style="8" customWidth="1"/>
    <col min="11" max="16384" width="11.5703125" style="1"/>
  </cols>
  <sheetData>
    <row r="1" spans="1:10" ht="5.0999999999999996" customHeight="1" x14ac:dyDescent="0.2"/>
    <row r="2" spans="1:10" s="34" customFormat="1" ht="35.1" customHeight="1" x14ac:dyDescent="0.2">
      <c r="A2" s="94" t="s">
        <v>73</v>
      </c>
      <c r="B2" s="6"/>
      <c r="F2" s="35"/>
      <c r="G2" s="35"/>
      <c r="H2" s="294" t="s">
        <v>121</v>
      </c>
      <c r="I2" s="290"/>
      <c r="J2" s="37"/>
    </row>
    <row r="3" spans="1:10" s="9" customFormat="1" ht="6" customHeight="1" x14ac:dyDescent="0.25">
      <c r="A3" s="65"/>
      <c r="B3" s="65"/>
      <c r="C3" s="65"/>
      <c r="D3" s="65"/>
      <c r="E3" s="65"/>
      <c r="F3" s="65"/>
      <c r="G3" s="65"/>
      <c r="H3" s="65"/>
      <c r="I3" s="66"/>
      <c r="J3" s="2"/>
    </row>
    <row r="4" spans="1:10" s="9" customFormat="1" ht="3.95" customHeight="1" x14ac:dyDescent="0.25">
      <c r="I4" s="2"/>
      <c r="J4" s="2"/>
    </row>
    <row r="5" spans="1:10" s="9" customFormat="1" ht="12.95" customHeight="1" x14ac:dyDescent="0.25">
      <c r="D5" s="61" t="s">
        <v>61</v>
      </c>
      <c r="E5" s="28" t="s">
        <v>43</v>
      </c>
      <c r="G5" s="28"/>
      <c r="H5" s="11" t="s">
        <v>16</v>
      </c>
      <c r="I5" s="81" t="s">
        <v>44</v>
      </c>
      <c r="J5" s="28"/>
    </row>
    <row r="6" spans="1:10" s="9" customFormat="1" ht="3.95" customHeight="1" x14ac:dyDescent="0.25">
      <c r="E6" s="59"/>
      <c r="I6" s="2"/>
      <c r="J6" s="2"/>
    </row>
    <row r="7" spans="1:10" s="10" customFormat="1" ht="12.95" customHeight="1" x14ac:dyDescent="0.2">
      <c r="A7" s="291">
        <v>1</v>
      </c>
      <c r="B7" s="291"/>
      <c r="C7" s="69" t="s">
        <v>0</v>
      </c>
      <c r="D7" s="116">
        <f>E7/$E$33</f>
        <v>1E-3</v>
      </c>
      <c r="E7" s="130">
        <f>_1</f>
        <v>15000</v>
      </c>
      <c r="F7" s="64"/>
      <c r="G7" s="64"/>
      <c r="H7" s="95">
        <v>0</v>
      </c>
      <c r="I7" s="130">
        <f>E7*H7</f>
        <v>0</v>
      </c>
      <c r="J7" s="31"/>
    </row>
    <row r="8" spans="1:10" ht="6.95" customHeight="1" x14ac:dyDescent="0.2">
      <c r="B8" s="5"/>
      <c r="D8" s="117"/>
      <c r="E8" s="103"/>
      <c r="H8" s="92"/>
      <c r="I8" s="103"/>
      <c r="J8" s="38"/>
    </row>
    <row r="9" spans="1:10" s="10" customFormat="1" ht="12.95" customHeight="1" x14ac:dyDescent="0.2">
      <c r="A9" s="291">
        <v>2</v>
      </c>
      <c r="B9" s="291"/>
      <c r="C9" s="69" t="s">
        <v>1</v>
      </c>
      <c r="D9" s="116">
        <f>E9/$E$33</f>
        <v>0.30599999999999999</v>
      </c>
      <c r="E9" s="130">
        <f>_2</f>
        <v>9000000</v>
      </c>
      <c r="F9" s="64"/>
      <c r="G9" s="64"/>
      <c r="H9" s="96">
        <v>1</v>
      </c>
      <c r="I9" s="130">
        <f>E9*H9</f>
        <v>9000000</v>
      </c>
      <c r="J9" s="31"/>
    </row>
    <row r="10" spans="1:10" ht="6.95" customHeight="1" x14ac:dyDescent="0.2">
      <c r="D10" s="117"/>
      <c r="E10" s="221"/>
      <c r="H10" s="92"/>
      <c r="I10" s="102"/>
      <c r="J10" s="31"/>
    </row>
    <row r="11" spans="1:10" s="9" customFormat="1" ht="12.95" customHeight="1" x14ac:dyDescent="0.2">
      <c r="A11" s="291">
        <v>3</v>
      </c>
      <c r="B11" s="291"/>
      <c r="C11" s="69" t="s">
        <v>7</v>
      </c>
      <c r="D11" s="116">
        <f>E11/$E$33</f>
        <v>0.192</v>
      </c>
      <c r="E11" s="131">
        <f>_3</f>
        <v>5650000</v>
      </c>
      <c r="F11" s="64"/>
      <c r="G11" s="64"/>
      <c r="H11" s="92"/>
      <c r="I11" s="102"/>
      <c r="J11" s="31"/>
    </row>
    <row r="12" spans="1:10" ht="12.95" customHeight="1" x14ac:dyDescent="0.2">
      <c r="A12" s="266">
        <v>3</v>
      </c>
      <c r="B12" s="72" t="s">
        <v>17</v>
      </c>
      <c r="C12" s="73" t="s">
        <v>18</v>
      </c>
      <c r="D12" s="118"/>
      <c r="E12" s="127">
        <f>_3.01</f>
        <v>900000</v>
      </c>
      <c r="F12" s="64"/>
      <c r="G12" s="64"/>
      <c r="H12" s="96">
        <v>1</v>
      </c>
      <c r="I12" s="132">
        <f t="shared" ref="I12:I19" si="0">E12*H12</f>
        <v>900000</v>
      </c>
      <c r="J12" s="31"/>
    </row>
    <row r="13" spans="1:10" ht="12.95" customHeight="1" x14ac:dyDescent="0.2">
      <c r="A13" s="267">
        <v>3</v>
      </c>
      <c r="B13" s="76" t="s">
        <v>19</v>
      </c>
      <c r="C13" s="77" t="s">
        <v>26</v>
      </c>
      <c r="D13" s="119"/>
      <c r="E13" s="128">
        <f>_3.02</f>
        <v>1200000</v>
      </c>
      <c r="F13" s="64"/>
      <c r="G13" s="64"/>
      <c r="H13" s="96">
        <v>1</v>
      </c>
      <c r="I13" s="168">
        <f t="shared" si="0"/>
        <v>1200000</v>
      </c>
      <c r="J13" s="31"/>
    </row>
    <row r="14" spans="1:10" ht="12.95" customHeight="1" x14ac:dyDescent="0.2">
      <c r="A14" s="267">
        <v>3</v>
      </c>
      <c r="B14" s="76" t="s">
        <v>20</v>
      </c>
      <c r="C14" s="77" t="s">
        <v>27</v>
      </c>
      <c r="D14" s="119"/>
      <c r="E14" s="129">
        <f>_3.03</f>
        <v>1000000</v>
      </c>
      <c r="F14" s="64"/>
      <c r="G14" s="64"/>
      <c r="H14" s="96">
        <v>1</v>
      </c>
      <c r="I14" s="168">
        <f t="shared" si="0"/>
        <v>1000000</v>
      </c>
      <c r="J14" s="31"/>
    </row>
    <row r="15" spans="1:10" ht="12.95" customHeight="1" x14ac:dyDescent="0.2">
      <c r="A15" s="267">
        <v>3</v>
      </c>
      <c r="B15" s="76" t="s">
        <v>21</v>
      </c>
      <c r="C15" s="77" t="s">
        <v>28</v>
      </c>
      <c r="D15" s="119"/>
      <c r="E15" s="129">
        <f>_3.04</f>
        <v>1500000</v>
      </c>
      <c r="F15" s="64"/>
      <c r="G15" s="64"/>
      <c r="H15" s="96">
        <v>1</v>
      </c>
      <c r="I15" s="168">
        <f t="shared" si="0"/>
        <v>1500000</v>
      </c>
      <c r="J15" s="31"/>
    </row>
    <row r="16" spans="1:10" ht="12.95" customHeight="1" x14ac:dyDescent="0.2">
      <c r="A16" s="267">
        <v>3</v>
      </c>
      <c r="B16" s="76" t="s">
        <v>22</v>
      </c>
      <c r="C16" s="77" t="s">
        <v>31</v>
      </c>
      <c r="D16" s="119"/>
      <c r="E16" s="129">
        <f>_3.05</f>
        <v>600000</v>
      </c>
      <c r="F16" s="64"/>
      <c r="G16" s="64"/>
      <c r="H16" s="96">
        <v>1</v>
      </c>
      <c r="I16" s="168">
        <f t="shared" si="0"/>
        <v>600000</v>
      </c>
      <c r="J16" s="31"/>
    </row>
    <row r="17" spans="1:10" ht="12.95" customHeight="1" x14ac:dyDescent="0.2">
      <c r="A17" s="267">
        <v>3</v>
      </c>
      <c r="B17" s="76" t="s">
        <v>23</v>
      </c>
      <c r="C17" s="77" t="s">
        <v>29</v>
      </c>
      <c r="D17" s="119"/>
      <c r="E17" s="129">
        <f>_3.06</f>
        <v>150000</v>
      </c>
      <c r="F17" s="64"/>
      <c r="G17" s="64"/>
      <c r="H17" s="96">
        <v>1</v>
      </c>
      <c r="I17" s="168">
        <f t="shared" si="0"/>
        <v>150000</v>
      </c>
      <c r="J17" s="31"/>
    </row>
    <row r="18" spans="1:10" ht="12.95" customHeight="1" x14ac:dyDescent="0.2">
      <c r="A18" s="267">
        <v>3</v>
      </c>
      <c r="B18" s="76" t="s">
        <v>24</v>
      </c>
      <c r="C18" s="77" t="s">
        <v>30</v>
      </c>
      <c r="D18" s="119"/>
      <c r="E18" s="129">
        <f>_3.07</f>
        <v>0</v>
      </c>
      <c r="F18" s="64"/>
      <c r="G18" s="64"/>
      <c r="H18" s="96">
        <v>0</v>
      </c>
      <c r="I18" s="168">
        <f t="shared" si="0"/>
        <v>0</v>
      </c>
      <c r="J18" s="31"/>
    </row>
    <row r="19" spans="1:10" ht="12.95" customHeight="1" x14ac:dyDescent="0.2">
      <c r="A19" s="267">
        <v>3</v>
      </c>
      <c r="B19" s="76" t="s">
        <v>25</v>
      </c>
      <c r="C19" s="77" t="s">
        <v>8</v>
      </c>
      <c r="D19" s="119"/>
      <c r="E19" s="129">
        <f>_3.08</f>
        <v>300000</v>
      </c>
      <c r="F19" s="64"/>
      <c r="G19" s="64"/>
      <c r="H19" s="96">
        <v>1</v>
      </c>
      <c r="I19" s="169">
        <f t="shared" si="0"/>
        <v>300000</v>
      </c>
      <c r="J19" s="31"/>
    </row>
    <row r="20" spans="1:10" ht="6.95" customHeight="1" x14ac:dyDescent="0.2">
      <c r="D20" s="117"/>
      <c r="E20" s="102"/>
      <c r="H20" s="97"/>
      <c r="I20" s="102"/>
      <c r="J20" s="139"/>
    </row>
    <row r="21" spans="1:10" s="9" customFormat="1" ht="12.75" customHeight="1" x14ac:dyDescent="0.2">
      <c r="A21" s="291">
        <v>4</v>
      </c>
      <c r="B21" s="291"/>
      <c r="C21" s="69" t="s">
        <v>2</v>
      </c>
      <c r="D21" s="116">
        <f>E21/$E$33</f>
        <v>0.20399999999999999</v>
      </c>
      <c r="E21" s="130">
        <f>_4</f>
        <v>6000000</v>
      </c>
      <c r="F21" s="64"/>
      <c r="G21" s="64"/>
      <c r="H21" s="96">
        <v>1</v>
      </c>
      <c r="I21" s="130">
        <f>E21*H21</f>
        <v>6000000</v>
      </c>
      <c r="J21" s="31"/>
    </row>
    <row r="22" spans="1:10" ht="6.95" customHeight="1" x14ac:dyDescent="0.2">
      <c r="B22" s="5"/>
      <c r="D22" s="117"/>
      <c r="E22" s="102"/>
      <c r="H22" s="92"/>
      <c r="I22" s="102"/>
      <c r="J22" s="30"/>
    </row>
    <row r="23" spans="1:10" s="10" customFormat="1" ht="12.95" customHeight="1" x14ac:dyDescent="0.2">
      <c r="A23" s="291">
        <v>5</v>
      </c>
      <c r="B23" s="291"/>
      <c r="C23" s="69" t="s">
        <v>9</v>
      </c>
      <c r="D23" s="116">
        <f>E23/$E$33</f>
        <v>5.6000000000000001E-2</v>
      </c>
      <c r="E23" s="132">
        <f>_5</f>
        <v>1650000</v>
      </c>
      <c r="F23" s="64"/>
      <c r="G23" s="64"/>
      <c r="H23" s="96">
        <v>0</v>
      </c>
      <c r="I23" s="130">
        <f>E23*H23</f>
        <v>0</v>
      </c>
      <c r="J23" s="31"/>
    </row>
    <row r="24" spans="1:10" ht="6.95" customHeight="1" x14ac:dyDescent="0.2">
      <c r="D24" s="117"/>
      <c r="E24" s="102"/>
      <c r="H24" s="92"/>
      <c r="I24" s="102"/>
      <c r="J24" s="31"/>
    </row>
    <row r="25" spans="1:10" s="9" customFormat="1" ht="12.95" customHeight="1" x14ac:dyDescent="0.2">
      <c r="A25" s="291">
        <v>6</v>
      </c>
      <c r="B25" s="291"/>
      <c r="C25" s="69" t="s">
        <v>3</v>
      </c>
      <c r="D25" s="116">
        <f>E25/$E$33</f>
        <v>1.7000000000000001E-2</v>
      </c>
      <c r="E25" s="130">
        <f>_6</f>
        <v>500000</v>
      </c>
      <c r="F25" s="64"/>
      <c r="G25" s="64"/>
      <c r="H25" s="96">
        <v>0</v>
      </c>
      <c r="I25" s="130">
        <f>E25*H25</f>
        <v>0</v>
      </c>
      <c r="J25" s="31"/>
    </row>
    <row r="26" spans="1:10" ht="6.95" customHeight="1" x14ac:dyDescent="0.2">
      <c r="B26" s="4"/>
      <c r="D26" s="120"/>
      <c r="E26" s="102"/>
      <c r="H26" s="92"/>
      <c r="I26" s="102"/>
      <c r="J26" s="31"/>
    </row>
    <row r="27" spans="1:10" s="10" customFormat="1" ht="12.95" customHeight="1" x14ac:dyDescent="0.2">
      <c r="A27" s="291">
        <v>7</v>
      </c>
      <c r="B27" s="291"/>
      <c r="C27" s="69" t="s">
        <v>78</v>
      </c>
      <c r="D27" s="116">
        <f>E27/$E$33</f>
        <v>0.17</v>
      </c>
      <c r="E27" s="130">
        <f>_7</f>
        <v>5000000</v>
      </c>
      <c r="F27" s="64"/>
      <c r="G27" s="64"/>
      <c r="H27" s="96">
        <v>0</v>
      </c>
      <c r="I27" s="130">
        <f>E27*H27</f>
        <v>0</v>
      </c>
      <c r="J27" s="31"/>
    </row>
    <row r="28" spans="1:10" ht="6.95" customHeight="1" x14ac:dyDescent="0.2">
      <c r="D28" s="120"/>
      <c r="E28" s="102"/>
      <c r="H28" s="92"/>
      <c r="I28" s="102"/>
      <c r="J28" s="31"/>
    </row>
    <row r="29" spans="1:10" s="10" customFormat="1" ht="12.95" customHeight="1" x14ac:dyDescent="0.2">
      <c r="A29" s="291">
        <v>8</v>
      </c>
      <c r="B29" s="291"/>
      <c r="C29" s="69" t="s">
        <v>111</v>
      </c>
      <c r="D29" s="116">
        <f>E29/$E$33</f>
        <v>1E-3</v>
      </c>
      <c r="E29" s="130">
        <f>_8</f>
        <v>36000</v>
      </c>
      <c r="F29" s="64"/>
      <c r="G29" s="64"/>
      <c r="H29" s="96">
        <v>0</v>
      </c>
      <c r="I29" s="130">
        <f>E29*H29</f>
        <v>0</v>
      </c>
      <c r="J29" s="31"/>
    </row>
    <row r="30" spans="1:10" ht="6.95" customHeight="1" x14ac:dyDescent="0.2">
      <c r="D30" s="120"/>
      <c r="E30" s="102"/>
      <c r="H30" s="97"/>
      <c r="I30" s="102"/>
      <c r="J30" s="139"/>
    </row>
    <row r="31" spans="1:10" s="10" customFormat="1" ht="12.95" customHeight="1" x14ac:dyDescent="0.2">
      <c r="A31" s="291">
        <v>9</v>
      </c>
      <c r="B31" s="291"/>
      <c r="C31" s="69" t="s">
        <v>10</v>
      </c>
      <c r="D31" s="116">
        <f>E31/$E$33</f>
        <v>5.3999999999999999E-2</v>
      </c>
      <c r="E31" s="130">
        <f>_9</f>
        <v>1600000</v>
      </c>
      <c r="F31" s="64"/>
      <c r="G31" s="64"/>
      <c r="H31" s="96">
        <v>0.1</v>
      </c>
      <c r="I31" s="130">
        <f>E31*H31</f>
        <v>160000</v>
      </c>
      <c r="J31" s="31"/>
    </row>
    <row r="32" spans="1:10" ht="12" customHeight="1" x14ac:dyDescent="0.2">
      <c r="B32" s="4"/>
      <c r="D32" s="29"/>
      <c r="H32" s="1"/>
      <c r="I32" s="1"/>
      <c r="J32" s="1"/>
    </row>
    <row r="33" spans="1:11" ht="12.95" customHeight="1" x14ac:dyDescent="0.25">
      <c r="A33" s="190" t="s">
        <v>12</v>
      </c>
      <c r="B33" s="191"/>
      <c r="C33" s="191"/>
      <c r="D33" s="222">
        <f>SUM(D7:D31)</f>
        <v>1</v>
      </c>
      <c r="E33" s="82">
        <f>_EK</f>
        <v>29451000</v>
      </c>
      <c r="F33" s="55"/>
      <c r="G33" s="55"/>
      <c r="H33" s="163"/>
      <c r="I33" s="20"/>
      <c r="J33" s="20"/>
    </row>
    <row r="34" spans="1:11" ht="3.95" customHeight="1" x14ac:dyDescent="0.2">
      <c r="D34" s="29"/>
      <c r="F34" s="8"/>
      <c r="G34" s="8"/>
      <c r="H34" s="1"/>
      <c r="I34" s="1"/>
      <c r="J34" s="20"/>
    </row>
    <row r="35" spans="1:11" ht="12.95" customHeight="1" x14ac:dyDescent="0.2">
      <c r="A35" s="263"/>
      <c r="B35" s="68" t="s">
        <v>91</v>
      </c>
      <c r="C35" s="69"/>
      <c r="D35" s="116"/>
      <c r="E35" s="130">
        <f>_mvB</f>
        <v>150000</v>
      </c>
      <c r="F35" s="64"/>
      <c r="G35" s="64"/>
      <c r="H35" s="220">
        <v>0</v>
      </c>
      <c r="I35" s="130">
        <f>E35*H35</f>
        <v>0</v>
      </c>
      <c r="J35" s="20"/>
    </row>
    <row r="36" spans="1:11" ht="3.95" customHeight="1" x14ac:dyDescent="0.2">
      <c r="E36" s="29"/>
    </row>
    <row r="37" spans="1:11" s="13" customFormat="1" ht="12.95" customHeight="1" x14ac:dyDescent="0.3">
      <c r="A37" s="192" t="s">
        <v>32</v>
      </c>
      <c r="B37" s="193"/>
      <c r="C37" s="193"/>
      <c r="D37" s="171"/>
      <c r="E37" s="171"/>
      <c r="F37" s="171"/>
      <c r="G37" s="171"/>
      <c r="H37" s="172"/>
      <c r="I37" s="173">
        <f>SUM(I7:I35)</f>
        <v>20810000</v>
      </c>
      <c r="J37" s="276"/>
    </row>
    <row r="38" spans="1:11" s="14" customFormat="1" ht="12.95" customHeight="1" x14ac:dyDescent="0.25">
      <c r="B38" s="15"/>
      <c r="H38" s="143"/>
      <c r="I38" s="143"/>
      <c r="J38" s="143"/>
    </row>
    <row r="39" spans="1:11" ht="12.75" customHeight="1" x14ac:dyDescent="0.2">
      <c r="A39" s="144" t="s">
        <v>104</v>
      </c>
      <c r="B39" s="144"/>
      <c r="C39" s="145"/>
      <c r="D39" s="145"/>
      <c r="E39" s="145"/>
      <c r="F39" s="145"/>
      <c r="G39" s="145"/>
      <c r="H39" s="144"/>
      <c r="I39" s="225"/>
      <c r="J39" s="147"/>
    </row>
    <row r="40" spans="1:11" ht="6.75" customHeight="1" x14ac:dyDescent="0.2">
      <c r="A40" s="146"/>
      <c r="B40" s="146"/>
      <c r="C40" s="146"/>
      <c r="D40" s="146"/>
      <c r="E40" s="146"/>
      <c r="F40" s="146"/>
      <c r="G40" s="146"/>
      <c r="I40" s="224"/>
    </row>
    <row r="41" spans="1:11" ht="12.75" customHeight="1" x14ac:dyDescent="0.2">
      <c r="A41" s="147" t="s">
        <v>62</v>
      </c>
      <c r="B41" s="146"/>
      <c r="C41" s="146"/>
      <c r="D41" s="146"/>
      <c r="E41" s="146"/>
      <c r="F41" s="146"/>
      <c r="G41" s="146"/>
      <c r="I41" s="224"/>
    </row>
    <row r="42" spans="1:11" ht="12.75" customHeight="1" x14ac:dyDescent="0.2">
      <c r="A42" s="16"/>
      <c r="B42" s="16"/>
      <c r="E42" s="148" t="s">
        <v>5</v>
      </c>
      <c r="F42" s="149" t="s">
        <v>4</v>
      </c>
      <c r="H42" s="293" t="s">
        <v>122</v>
      </c>
      <c r="I42" s="293"/>
      <c r="J42" s="277"/>
    </row>
    <row r="43" spans="1:11" ht="12.75" customHeight="1" x14ac:dyDescent="0.2">
      <c r="B43" s="17" t="s">
        <v>39</v>
      </c>
      <c r="C43" s="32"/>
      <c r="D43" s="32"/>
      <c r="E43" s="98">
        <v>22</v>
      </c>
      <c r="F43" s="150" t="s">
        <v>48</v>
      </c>
      <c r="H43" s="239"/>
      <c r="I43" s="240"/>
      <c r="J43" s="277"/>
    </row>
    <row r="44" spans="1:11" ht="12.75" customHeight="1" x14ac:dyDescent="0.2">
      <c r="B44" s="18" t="s">
        <v>40</v>
      </c>
      <c r="C44" s="33"/>
      <c r="D44" s="33"/>
      <c r="E44" s="99">
        <v>2</v>
      </c>
      <c r="F44" s="151" t="s">
        <v>6</v>
      </c>
      <c r="H44" s="241"/>
      <c r="I44" s="242"/>
      <c r="J44" s="277"/>
    </row>
    <row r="45" spans="1:11" ht="12.75" customHeight="1" x14ac:dyDescent="0.2">
      <c r="B45" s="18" t="s">
        <v>41</v>
      </c>
      <c r="C45" s="33"/>
      <c r="D45" s="33"/>
      <c r="E45" s="99">
        <v>1</v>
      </c>
      <c r="F45" s="151" t="s">
        <v>6</v>
      </c>
      <c r="H45" s="241"/>
      <c r="I45" s="242"/>
      <c r="J45" s="277"/>
    </row>
    <row r="46" spans="1:11" ht="12.75" customHeight="1" x14ac:dyDescent="0.2">
      <c r="B46" s="18" t="s">
        <v>42</v>
      </c>
      <c r="C46" s="33"/>
      <c r="D46" s="33"/>
      <c r="E46" s="99">
        <v>1</v>
      </c>
      <c r="F46" s="151" t="s">
        <v>6</v>
      </c>
      <c r="H46" s="243"/>
      <c r="I46" s="244"/>
      <c r="J46" s="277"/>
    </row>
    <row r="47" spans="1:11" ht="3" customHeight="1" x14ac:dyDescent="0.2">
      <c r="A47" s="16"/>
      <c r="B47" s="16"/>
      <c r="E47" s="152"/>
      <c r="F47" s="152"/>
      <c r="I47" s="226"/>
      <c r="J47" s="277"/>
    </row>
    <row r="48" spans="1:11" ht="12.75" customHeight="1" x14ac:dyDescent="0.2">
      <c r="A48" s="16"/>
      <c r="B48" s="16"/>
      <c r="C48" s="298" t="s">
        <v>133</v>
      </c>
      <c r="D48" s="299"/>
      <c r="E48" s="99">
        <v>0</v>
      </c>
      <c r="F48" s="151" t="s">
        <v>134</v>
      </c>
      <c r="H48" s="241"/>
      <c r="I48" s="242"/>
      <c r="J48" s="1"/>
      <c r="K48" s="277"/>
    </row>
    <row r="49" spans="1:11" ht="12.75" customHeight="1" x14ac:dyDescent="0.2">
      <c r="A49" s="16"/>
      <c r="B49" s="16"/>
      <c r="C49" s="298" t="s">
        <v>135</v>
      </c>
      <c r="D49" s="299"/>
      <c r="E49" s="99">
        <v>0</v>
      </c>
      <c r="F49" s="151" t="s">
        <v>136</v>
      </c>
      <c r="H49" s="243"/>
      <c r="I49" s="244"/>
      <c r="J49" s="1"/>
      <c r="K49" s="277"/>
    </row>
    <row r="50" spans="1:11" ht="4.5" customHeight="1" x14ac:dyDescent="0.2">
      <c r="A50" s="16"/>
      <c r="B50" s="16"/>
      <c r="E50" s="152"/>
      <c r="F50" s="152"/>
      <c r="I50" s="226"/>
      <c r="J50" s="277"/>
    </row>
    <row r="51" spans="1:11" ht="12.75" customHeight="1" x14ac:dyDescent="0.2">
      <c r="B51" s="16" t="s">
        <v>38</v>
      </c>
      <c r="C51" s="153"/>
      <c r="D51" s="154"/>
      <c r="E51" s="155">
        <f>SUM(E43:E50)</f>
        <v>26</v>
      </c>
      <c r="F51" s="154"/>
      <c r="I51" s="226"/>
      <c r="J51" s="1"/>
    </row>
    <row r="52" spans="1:11" ht="12.95" customHeight="1" x14ac:dyDescent="0.2">
      <c r="B52" s="1"/>
      <c r="C52" s="154"/>
      <c r="D52" s="154"/>
      <c r="E52" s="154"/>
      <c r="F52" s="154"/>
      <c r="G52" s="154"/>
      <c r="I52" s="226"/>
      <c r="J52" s="1"/>
    </row>
    <row r="53" spans="1:11" ht="12.95" customHeight="1" x14ac:dyDescent="0.2">
      <c r="A53" s="147" t="s">
        <v>15</v>
      </c>
      <c r="B53" s="146"/>
      <c r="C53" s="146"/>
      <c r="D53" s="146"/>
      <c r="E53" s="146"/>
      <c r="F53" s="146"/>
      <c r="G53" s="146"/>
      <c r="H53" s="223"/>
      <c r="I53" s="1"/>
    </row>
    <row r="54" spans="1:11" ht="4.5" customHeight="1" x14ac:dyDescent="0.2">
      <c r="A54" s="147"/>
      <c r="B54" s="147"/>
      <c r="C54" s="147"/>
      <c r="I54" s="1"/>
    </row>
    <row r="55" spans="1:11" ht="12.75" customHeight="1" x14ac:dyDescent="0.2">
      <c r="A55" s="156" t="s">
        <v>59</v>
      </c>
      <c r="B55" s="1"/>
      <c r="E55" s="189">
        <f>I37</f>
        <v>20810000</v>
      </c>
      <c r="H55" s="292" t="str">
        <f>IF(E55&lt;500000,"! gemäß BP.9 (3): Wenn die Bemessungsgrundlage niedriger ist als 500.000 €, sollte der Ermittlungsweg über Abschätzung des Büro- / Personalaufwandes gewählt werden","")</f>
        <v/>
      </c>
      <c r="I55" s="292"/>
    </row>
    <row r="56" spans="1:11" ht="12.75" customHeight="1" x14ac:dyDescent="0.2">
      <c r="A56" s="16" t="s">
        <v>76</v>
      </c>
      <c r="B56" s="16"/>
      <c r="E56" s="283">
        <v>9500</v>
      </c>
      <c r="H56" s="292"/>
      <c r="I56" s="292"/>
    </row>
    <row r="57" spans="1:11" ht="12.75" customHeight="1" x14ac:dyDescent="0.2">
      <c r="A57" s="16" t="s">
        <v>77</v>
      </c>
      <c r="B57" s="16"/>
      <c r="E57" s="100">
        <v>1000</v>
      </c>
      <c r="H57" s="292"/>
      <c r="I57" s="292"/>
    </row>
    <row r="58" spans="1:11" ht="8.1" customHeight="1" x14ac:dyDescent="0.2">
      <c r="A58" s="16"/>
      <c r="B58" s="16"/>
      <c r="E58" s="93"/>
      <c r="H58" s="292"/>
      <c r="I58" s="292"/>
    </row>
    <row r="59" spans="1:11" ht="13.5" customHeight="1" x14ac:dyDescent="0.3">
      <c r="A59" s="21" t="s">
        <v>57</v>
      </c>
      <c r="B59" s="21"/>
      <c r="E59" s="195">
        <f>0.057*E51+0.367</f>
        <v>1.85</v>
      </c>
      <c r="F59" s="101"/>
      <c r="H59" s="292"/>
      <c r="I59" s="292"/>
    </row>
    <row r="60" spans="1:11" ht="4.5" customHeight="1" x14ac:dyDescent="0.2">
      <c r="A60" s="16"/>
      <c r="B60" s="16"/>
      <c r="E60" s="26"/>
      <c r="F60" s="101"/>
      <c r="H60" s="292"/>
      <c r="I60" s="292"/>
    </row>
    <row r="61" spans="1:11" s="269" customFormat="1" ht="18" customHeight="1" x14ac:dyDescent="0.25">
      <c r="A61" s="16" t="s">
        <v>58</v>
      </c>
      <c r="B61" s="16"/>
      <c r="E61" s="270">
        <f>ROUND(439.8031*E55^(-0.476)*E59/100,6)</f>
        <v>2.673E-3</v>
      </c>
      <c r="F61" s="271" t="s">
        <v>74</v>
      </c>
      <c r="H61" s="292"/>
      <c r="I61" s="292"/>
      <c r="J61" s="281"/>
    </row>
    <row r="62" spans="1:11" ht="13.5" customHeight="1" x14ac:dyDescent="0.25">
      <c r="A62" s="16" t="s">
        <v>92</v>
      </c>
      <c r="B62" s="16"/>
      <c r="E62" s="176">
        <v>0</v>
      </c>
      <c r="F62" s="194"/>
      <c r="I62"/>
    </row>
    <row r="63" spans="1:11" ht="8.1" customHeight="1" x14ac:dyDescent="0.25">
      <c r="A63" s="16"/>
      <c r="B63" s="16"/>
      <c r="E63" s="157"/>
      <c r="F63" s="157"/>
      <c r="I63"/>
    </row>
    <row r="64" spans="1:11" ht="15" customHeight="1" x14ac:dyDescent="0.3">
      <c r="A64" s="19" t="s">
        <v>107</v>
      </c>
      <c r="B64" s="17"/>
      <c r="C64" s="158"/>
      <c r="D64" s="158"/>
      <c r="E64" s="159"/>
      <c r="F64" s="227">
        <f>E55*E61/E56*E57*(1+E62)</f>
        <v>5855</v>
      </c>
    </row>
    <row r="65" spans="1:13" ht="12.95" customHeight="1" x14ac:dyDescent="0.2">
      <c r="A65" s="21"/>
      <c r="B65" s="16"/>
      <c r="C65" s="146"/>
      <c r="D65" s="238" t="s">
        <v>98</v>
      </c>
      <c r="E65" s="237" t="s">
        <v>5</v>
      </c>
      <c r="F65" s="160"/>
      <c r="I65" s="27"/>
    </row>
    <row r="66" spans="1:13" ht="12.75" customHeight="1" x14ac:dyDescent="0.25">
      <c r="A66" s="146" t="s">
        <v>68</v>
      </c>
      <c r="B66" s="161"/>
      <c r="D66" s="235">
        <v>0.03</v>
      </c>
      <c r="E66" s="175">
        <v>0.03</v>
      </c>
      <c r="F66" s="198">
        <f t="shared" ref="F66:F75" si="1">$F$64*E66</f>
        <v>176</v>
      </c>
      <c r="I66"/>
    </row>
    <row r="67" spans="1:13" ht="12.75" customHeight="1" x14ac:dyDescent="0.25">
      <c r="A67" s="146" t="s">
        <v>33</v>
      </c>
      <c r="B67" s="161"/>
      <c r="D67" s="235">
        <v>0.17</v>
      </c>
      <c r="E67" s="176">
        <v>0.17</v>
      </c>
      <c r="F67" s="198">
        <f t="shared" si="1"/>
        <v>995</v>
      </c>
      <c r="I67"/>
    </row>
    <row r="68" spans="1:13" ht="12.75" customHeight="1" x14ac:dyDescent="0.25">
      <c r="A68" s="146" t="s">
        <v>34</v>
      </c>
      <c r="B68" s="161"/>
      <c r="D68" s="235">
        <v>0.35</v>
      </c>
      <c r="E68" s="176">
        <v>0.35</v>
      </c>
      <c r="F68" s="198">
        <f t="shared" si="1"/>
        <v>2049</v>
      </c>
      <c r="I68"/>
    </row>
    <row r="69" spans="1:13" ht="12.75" customHeight="1" x14ac:dyDescent="0.25">
      <c r="A69" s="146" t="s">
        <v>35</v>
      </c>
      <c r="B69" s="161"/>
      <c r="D69" s="235">
        <v>0.05</v>
      </c>
      <c r="E69" s="176">
        <v>0.05</v>
      </c>
      <c r="F69" s="198">
        <f t="shared" si="1"/>
        <v>293</v>
      </c>
      <c r="I69"/>
    </row>
    <row r="70" spans="1:13" ht="12.75" customHeight="1" x14ac:dyDescent="0.25">
      <c r="A70" s="146" t="s">
        <v>51</v>
      </c>
      <c r="B70" s="161"/>
      <c r="D70" s="235">
        <v>0.27</v>
      </c>
      <c r="E70" s="176">
        <v>0.27</v>
      </c>
      <c r="F70" s="198">
        <f t="shared" si="1"/>
        <v>1581</v>
      </c>
      <c r="I70"/>
    </row>
    <row r="71" spans="1:13" ht="12.75" customHeight="1" x14ac:dyDescent="0.25">
      <c r="A71" s="146" t="s">
        <v>36</v>
      </c>
      <c r="B71" s="161"/>
      <c r="D71" s="235">
        <v>0.02</v>
      </c>
      <c r="E71" s="176">
        <v>0.02</v>
      </c>
      <c r="F71" s="198">
        <f t="shared" si="1"/>
        <v>117</v>
      </c>
      <c r="I71"/>
    </row>
    <row r="72" spans="1:13" ht="12.75" customHeight="1" x14ac:dyDescent="0.2">
      <c r="A72" s="146" t="s">
        <v>49</v>
      </c>
      <c r="B72" s="161"/>
      <c r="D72" s="235">
        <v>0.02</v>
      </c>
      <c r="E72" s="176">
        <v>0.02</v>
      </c>
      <c r="F72" s="198">
        <f t="shared" si="1"/>
        <v>117</v>
      </c>
      <c r="H72" s="295"/>
      <c r="I72" s="295"/>
    </row>
    <row r="73" spans="1:13" ht="12.75" customHeight="1" x14ac:dyDescent="0.2">
      <c r="A73" s="146" t="s">
        <v>46</v>
      </c>
      <c r="B73" s="161"/>
      <c r="D73" s="235">
        <v>0.09</v>
      </c>
      <c r="E73" s="176">
        <v>0.09</v>
      </c>
      <c r="F73" s="257">
        <f t="shared" si="1"/>
        <v>527</v>
      </c>
      <c r="G73" s="275"/>
      <c r="H73" s="295"/>
      <c r="I73" s="295"/>
    </row>
    <row r="74" spans="1:13" ht="12.75" customHeight="1" x14ac:dyDescent="0.2">
      <c r="A74" s="146" t="s">
        <v>52</v>
      </c>
      <c r="B74" s="161"/>
      <c r="D74" s="235">
        <v>0</v>
      </c>
      <c r="E74" s="176">
        <v>0</v>
      </c>
      <c r="F74" s="198">
        <f t="shared" si="1"/>
        <v>0</v>
      </c>
      <c r="G74" s="275"/>
      <c r="H74" s="295"/>
      <c r="I74" s="295"/>
    </row>
    <row r="75" spans="1:13" ht="12.75" customHeight="1" x14ac:dyDescent="0.25">
      <c r="A75" s="158" t="s">
        <v>47</v>
      </c>
      <c r="B75" s="162"/>
      <c r="C75" s="32"/>
      <c r="D75" s="236">
        <v>0</v>
      </c>
      <c r="E75" s="177">
        <v>0</v>
      </c>
      <c r="F75" s="234">
        <f t="shared" si="1"/>
        <v>0</v>
      </c>
      <c r="G75" s="32"/>
      <c r="H75" s="39"/>
      <c r="I75" s="268"/>
    </row>
    <row r="76" spans="1:13" s="14" customFormat="1" ht="18.600000000000001" customHeight="1" x14ac:dyDescent="0.25">
      <c r="A76" s="250" t="s">
        <v>37</v>
      </c>
      <c r="B76" s="251"/>
      <c r="D76" s="261">
        <f>SUM(D66:D75)</f>
        <v>1</v>
      </c>
      <c r="E76" s="252">
        <f>SUM(E66:E75)</f>
        <v>1</v>
      </c>
      <c r="F76" s="253">
        <f>SUM(F66:F75)</f>
        <v>5855</v>
      </c>
      <c r="H76" s="254"/>
      <c r="I76" s="255"/>
    </row>
    <row r="77" spans="1:13" ht="12.75" customHeight="1" x14ac:dyDescent="0.25">
      <c r="A77" s="301" t="s">
        <v>124</v>
      </c>
      <c r="B77" s="161"/>
      <c r="D77" s="235">
        <v>0.02</v>
      </c>
      <c r="E77" s="248">
        <v>0</v>
      </c>
      <c r="F77" s="224">
        <f>$F$64*E77</f>
        <v>0</v>
      </c>
      <c r="I77"/>
      <c r="J77" s="1"/>
    </row>
    <row r="78" spans="1:13" ht="12.75" customHeight="1" x14ac:dyDescent="0.25">
      <c r="A78" s="301" t="s">
        <v>131</v>
      </c>
      <c r="B78" s="162"/>
      <c r="C78" s="32"/>
      <c r="D78" s="236">
        <v>0.02</v>
      </c>
      <c r="E78" s="177">
        <v>0</v>
      </c>
      <c r="F78" s="249">
        <f>$F$64*E78</f>
        <v>0</v>
      </c>
      <c r="G78" s="32"/>
      <c r="H78" s="39"/>
      <c r="I78" s="268"/>
      <c r="J78" s="1"/>
      <c r="K78" s="21"/>
      <c r="L78" s="21"/>
      <c r="M78" s="21"/>
    </row>
    <row r="79" spans="1:13" ht="13.5" customHeight="1" x14ac:dyDescent="0.2">
      <c r="A79" s="289" t="s">
        <v>132</v>
      </c>
      <c r="B79" s="289"/>
      <c r="C79" s="289"/>
      <c r="D79" s="260">
        <f>SUM(D76:D78)</f>
        <v>1.04</v>
      </c>
      <c r="E79" s="245">
        <f>E76+SUM(E77:E78)</f>
        <v>1</v>
      </c>
      <c r="F79" s="246">
        <f>F76+SUM(F77:F78)</f>
        <v>5855</v>
      </c>
      <c r="I79" s="91">
        <f>F79</f>
        <v>5855</v>
      </c>
      <c r="J79" s="20"/>
    </row>
    <row r="80" spans="1:13" ht="12.75" customHeight="1" x14ac:dyDescent="0.25">
      <c r="E80" s="231"/>
      <c r="I80"/>
    </row>
    <row r="81" spans="1:13" ht="12.75" customHeight="1" x14ac:dyDescent="0.25">
      <c r="A81" s="30" t="s">
        <v>79</v>
      </c>
      <c r="E81" s="196">
        <v>0</v>
      </c>
      <c r="F81" s="197">
        <v>0</v>
      </c>
      <c r="I81" s="91">
        <f>E81*F81</f>
        <v>0</v>
      </c>
      <c r="K81"/>
      <c r="L81"/>
      <c r="M81"/>
    </row>
    <row r="82" spans="1:13" ht="4.5" customHeight="1" x14ac:dyDescent="0.25">
      <c r="A82" s="16"/>
      <c r="B82" s="16"/>
      <c r="E82" s="26"/>
      <c r="F82" s="101"/>
      <c r="I82"/>
    </row>
    <row r="83" spans="1:13" s="21" customFormat="1" ht="12.75" x14ac:dyDescent="0.2">
      <c r="A83" s="86" t="s">
        <v>97</v>
      </c>
      <c r="B83" s="88"/>
      <c r="C83" s="88"/>
      <c r="D83" s="89"/>
      <c r="E83" s="90"/>
      <c r="F83" s="232"/>
      <c r="G83" s="89"/>
      <c r="H83" s="89"/>
      <c r="I83" s="91">
        <f>I79+I81</f>
        <v>5855</v>
      </c>
    </row>
    <row r="84" spans="1:13" s="21" customFormat="1" ht="4.5" customHeight="1" x14ac:dyDescent="0.2">
      <c r="B84" s="23"/>
      <c r="C84" s="23"/>
      <c r="D84" s="40"/>
      <c r="E84" s="41"/>
      <c r="F84" s="178"/>
      <c r="G84" s="42"/>
      <c r="I84" s="83"/>
    </row>
    <row r="85" spans="1:13" s="21" customFormat="1" ht="12.75" x14ac:dyDescent="0.2">
      <c r="A85" s="43" t="s">
        <v>13</v>
      </c>
      <c r="B85" s="23"/>
      <c r="C85" s="23"/>
      <c r="D85" s="41"/>
      <c r="E85" s="41"/>
      <c r="F85" s="179">
        <v>0.04</v>
      </c>
      <c r="G85" s="42"/>
      <c r="I85" s="84">
        <f>ROUND(I83*F85,2)</f>
        <v>234</v>
      </c>
    </row>
    <row r="86" spans="1:13" s="21" customFormat="1" ht="3" customHeight="1" x14ac:dyDescent="0.2">
      <c r="A86" s="44"/>
      <c r="B86" s="46"/>
      <c r="C86" s="46"/>
      <c r="D86" s="49"/>
      <c r="E86" s="49"/>
      <c r="F86" s="180"/>
      <c r="G86" s="56"/>
      <c r="H86" s="44"/>
      <c r="I86" s="85"/>
    </row>
    <row r="87" spans="1:13" s="21" customFormat="1" ht="3" customHeight="1" x14ac:dyDescent="0.2">
      <c r="B87" s="23"/>
      <c r="C87" s="23"/>
      <c r="D87" s="50"/>
      <c r="E87" s="50"/>
      <c r="F87" s="181"/>
      <c r="G87" s="57"/>
      <c r="H87" s="51"/>
      <c r="I87" s="83"/>
    </row>
    <row r="88" spans="1:13" s="21" customFormat="1" ht="12.75" x14ac:dyDescent="0.2">
      <c r="A88" s="47" t="s">
        <v>65</v>
      </c>
      <c r="B88" s="48"/>
      <c r="C88" s="48"/>
      <c r="D88" s="24"/>
      <c r="E88" s="24"/>
      <c r="F88" s="178"/>
      <c r="G88" s="42"/>
      <c r="I88" s="84">
        <f>I83+I85</f>
        <v>6089</v>
      </c>
    </row>
    <row r="89" spans="1:13" s="21" customFormat="1" ht="12.75" x14ac:dyDescent="0.2">
      <c r="A89" s="21" t="s">
        <v>14</v>
      </c>
      <c r="C89" s="23"/>
      <c r="D89" s="24"/>
      <c r="E89" s="24"/>
      <c r="F89" s="25">
        <v>0.2</v>
      </c>
      <c r="G89" s="25"/>
      <c r="I89" s="84">
        <f>ROUND(I88*F89,2)</f>
        <v>1218</v>
      </c>
    </row>
    <row r="90" spans="1:13" s="21" customFormat="1" ht="3" customHeight="1" x14ac:dyDescent="0.2">
      <c r="B90" s="23"/>
      <c r="C90" s="23"/>
      <c r="D90" s="24"/>
      <c r="E90" s="24"/>
      <c r="F90" s="178"/>
      <c r="G90" s="42"/>
      <c r="I90" s="83"/>
    </row>
    <row r="91" spans="1:13" s="21" customFormat="1" ht="12.75" x14ac:dyDescent="0.2">
      <c r="A91" s="182" t="s">
        <v>60</v>
      </c>
      <c r="B91" s="183"/>
      <c r="C91" s="183"/>
      <c r="D91" s="184"/>
      <c r="E91" s="185"/>
      <c r="F91" s="186"/>
      <c r="G91" s="186"/>
      <c r="H91" s="184"/>
      <c r="I91" s="187">
        <f>SUM(I87:I89)</f>
        <v>7307</v>
      </c>
    </row>
    <row r="92" spans="1:13" ht="5.0999999999999996" customHeight="1" x14ac:dyDescent="0.2"/>
    <row r="93" spans="1:13" ht="12.75" x14ac:dyDescent="0.2">
      <c r="A93" s="188" t="s">
        <v>75</v>
      </c>
      <c r="F93" s="233">
        <f>I88/E33</f>
        <v>2.0699999999999999E-4</v>
      </c>
    </row>
  </sheetData>
  <sheetProtection algorithmName="SHA-512" hashValue="oXQdB3Lsp0ir2I2LshaBhDEMoHinaJwTAWt14EF0Ev7DGhaNEh3FYkI5Z+rNGD+8QoMqg7p5UBEJO57ISVp5BA==" saltValue="2/1I4IGZPIKZDa2SJW2y/g==" spinCount="100000" sheet="1" objects="1" scenarios="1"/>
  <mergeCells count="14">
    <mergeCell ref="A79:C79"/>
    <mergeCell ref="H72:I74"/>
    <mergeCell ref="H55:I61"/>
    <mergeCell ref="H2:I2"/>
    <mergeCell ref="A7:B7"/>
    <mergeCell ref="A9:B9"/>
    <mergeCell ref="A11:B11"/>
    <mergeCell ref="A25:B25"/>
    <mergeCell ref="A21:B21"/>
    <mergeCell ref="H42:I42"/>
    <mergeCell ref="A31:B31"/>
    <mergeCell ref="A29:B29"/>
    <mergeCell ref="A27:B27"/>
    <mergeCell ref="A23:B23"/>
  </mergeCells>
  <pageMargins left="0.70866141732283472" right="0.70866141732283472" top="0.74803149606299213" bottom="0.74803149606299213" header="0.31496062992125984" footer="0.31496062992125984"/>
  <pageSetup paperSize="9" scale="72" fitToWidth="0" fitToHeight="0" pageOrder="overThenDown" orientation="portrait" r:id="rId1"/>
  <headerFooter>
    <oddHeader>&amp;L&amp;"Arial,Fett"&amp;K01+027Angebot &amp;A
&amp;"Arial,Standard"nach VM.BP+NH.2023&amp;R&amp;"Arial,Standard"&amp;K01+028Version 1
Stand: 15.09.2023</oddHeader>
    <oddFooter>&amp;L&amp;"Arial,Fett"&amp;K01+039LM.VM.2023 &amp;"Arial,Standard" |  Bauphysik &amp;A  |  Angebotsformular&amp;R&amp;"Arial,Standard"&amp;K01+039&amp;P/&amp;N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Scroll Bar 1">
              <controlPr locked="0" defaultSize="0" autoPict="0">
                <anchor moveWithCells="1">
                  <from>
                    <xdr:col>7</xdr:col>
                    <xdr:colOff>28575</xdr:colOff>
                    <xdr:row>42</xdr:row>
                    <xdr:rowOff>19050</xdr:rowOff>
                  </from>
                  <to>
                    <xdr:col>8</xdr:col>
                    <xdr:colOff>1019175</xdr:colOff>
                    <xdr:row>42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Scroll Bar 2">
              <controlPr defaultSize="0" autoPict="0">
                <anchor moveWithCells="1">
                  <from>
                    <xdr:col>7</xdr:col>
                    <xdr:colOff>28575</xdr:colOff>
                    <xdr:row>43</xdr:row>
                    <xdr:rowOff>19050</xdr:rowOff>
                  </from>
                  <to>
                    <xdr:col>8</xdr:col>
                    <xdr:colOff>1019175</xdr:colOff>
                    <xdr:row>43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Scroll Bar 3">
              <controlPr defaultSize="0" autoPict="0">
                <anchor moveWithCells="1">
                  <from>
                    <xdr:col>7</xdr:col>
                    <xdr:colOff>28575</xdr:colOff>
                    <xdr:row>44</xdr:row>
                    <xdr:rowOff>38100</xdr:rowOff>
                  </from>
                  <to>
                    <xdr:col>8</xdr:col>
                    <xdr:colOff>1019175</xdr:colOff>
                    <xdr:row>44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7" name="Scroll Bar 4">
              <controlPr locked="0" defaultSize="0" autoPict="0">
                <anchor moveWithCells="1">
                  <from>
                    <xdr:col>7</xdr:col>
                    <xdr:colOff>38100</xdr:colOff>
                    <xdr:row>45</xdr:row>
                    <xdr:rowOff>38100</xdr:rowOff>
                  </from>
                  <to>
                    <xdr:col>8</xdr:col>
                    <xdr:colOff>1028700</xdr:colOff>
                    <xdr:row>45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8" name="Scroll Bar 5">
              <controlPr locked="0" defaultSize="0" autoPict="0">
                <anchor moveWithCells="1">
                  <from>
                    <xdr:col>7</xdr:col>
                    <xdr:colOff>28575</xdr:colOff>
                    <xdr:row>47</xdr:row>
                    <xdr:rowOff>28575</xdr:rowOff>
                  </from>
                  <to>
                    <xdr:col>8</xdr:col>
                    <xdr:colOff>1028700</xdr:colOff>
                    <xdr:row>47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9" name="Scroll Bar 6">
              <controlPr locked="0" defaultSize="0" autoPict="0">
                <anchor moveWithCells="1">
                  <from>
                    <xdr:col>7</xdr:col>
                    <xdr:colOff>28575</xdr:colOff>
                    <xdr:row>48</xdr:row>
                    <xdr:rowOff>28575</xdr:rowOff>
                  </from>
                  <to>
                    <xdr:col>8</xdr:col>
                    <xdr:colOff>1028700</xdr:colOff>
                    <xdr:row>48</xdr:row>
                    <xdr:rowOff>133350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F11572-F83C-40C7-A361-9DE5AEFE7BCA}">
  <sheetPr codeName="Tabelle4"/>
  <dimension ref="A1:K110"/>
  <sheetViews>
    <sheetView showGridLines="0" zoomScaleNormal="100" zoomScaleSheetLayoutView="100" zoomScalePageLayoutView="85" workbookViewId="0">
      <selection activeCell="N15" sqref="N15"/>
    </sheetView>
  </sheetViews>
  <sheetFormatPr baseColWidth="10" defaultColWidth="11.5703125" defaultRowHeight="12" x14ac:dyDescent="0.2"/>
  <cols>
    <col min="1" max="1" width="1.5703125" style="1" customWidth="1"/>
    <col min="2" max="2" width="3.28515625" style="6" customWidth="1"/>
    <col min="3" max="3" width="38.7109375" style="1" customWidth="1"/>
    <col min="4" max="4" width="8.140625" style="1" customWidth="1"/>
    <col min="5" max="5" width="14.7109375" style="1" customWidth="1"/>
    <col min="6" max="6" width="15.7109375" style="1" customWidth="1"/>
    <col min="7" max="7" width="8.28515625" style="1" customWidth="1"/>
    <col min="8" max="8" width="14.7109375" style="7" customWidth="1" collapsed="1"/>
    <col min="9" max="9" width="15.7109375" style="8" customWidth="1"/>
    <col min="10" max="10" width="2.7109375" style="8" customWidth="1"/>
    <col min="11" max="16384" width="11.5703125" style="1"/>
  </cols>
  <sheetData>
    <row r="1" spans="1:10" s="34" customFormat="1" ht="32.25" customHeight="1" x14ac:dyDescent="0.2">
      <c r="A1" s="94" t="s">
        <v>73</v>
      </c>
      <c r="B1" s="6"/>
      <c r="F1" s="35"/>
      <c r="G1" s="35"/>
      <c r="H1" s="290" t="s">
        <v>116</v>
      </c>
      <c r="I1" s="290"/>
      <c r="J1" s="37"/>
    </row>
    <row r="2" spans="1:10" s="9" customFormat="1" ht="6" customHeight="1" x14ac:dyDescent="0.25">
      <c r="A2" s="65"/>
      <c r="B2" s="65"/>
      <c r="C2" s="65"/>
      <c r="D2" s="65"/>
      <c r="E2" s="65"/>
      <c r="F2" s="65"/>
      <c r="G2" s="65"/>
      <c r="H2" s="65"/>
      <c r="I2" s="66"/>
      <c r="J2" s="2"/>
    </row>
    <row r="3" spans="1:10" s="9" customFormat="1" ht="6" customHeight="1" x14ac:dyDescent="0.25">
      <c r="I3" s="2"/>
      <c r="J3" s="2"/>
    </row>
    <row r="4" spans="1:10" s="9" customFormat="1" ht="12.95" customHeight="1" x14ac:dyDescent="0.25">
      <c r="D4" s="61" t="s">
        <v>61</v>
      </c>
      <c r="E4" s="28" t="s">
        <v>43</v>
      </c>
      <c r="G4" s="28"/>
      <c r="H4" s="11" t="s">
        <v>16</v>
      </c>
      <c r="I4" s="81" t="s">
        <v>44</v>
      </c>
      <c r="J4" s="28"/>
    </row>
    <row r="5" spans="1:10" s="9" customFormat="1" ht="6" customHeight="1" x14ac:dyDescent="0.25">
      <c r="E5" s="59"/>
      <c r="I5" s="2"/>
      <c r="J5" s="2"/>
    </row>
    <row r="6" spans="1:10" s="10" customFormat="1" ht="12.95" customHeight="1" x14ac:dyDescent="0.2">
      <c r="A6" s="263">
        <v>1</v>
      </c>
      <c r="B6" s="68"/>
      <c r="C6" s="69" t="s">
        <v>0</v>
      </c>
      <c r="D6" s="116">
        <f>E6/$E$35</f>
        <v>1E-3</v>
      </c>
      <c r="E6" s="130">
        <f>_1</f>
        <v>15000</v>
      </c>
      <c r="F6" s="64"/>
      <c r="G6" s="64"/>
      <c r="H6" s="95">
        <v>0</v>
      </c>
      <c r="I6" s="130">
        <f>E6*H6</f>
        <v>0</v>
      </c>
      <c r="J6" s="31"/>
    </row>
    <row r="7" spans="1:10" ht="3" customHeight="1" x14ac:dyDescent="0.2">
      <c r="B7" s="5"/>
      <c r="E7" s="117"/>
      <c r="H7" s="92"/>
      <c r="I7" s="103"/>
      <c r="J7" s="38"/>
    </row>
    <row r="8" spans="1:10" s="10" customFormat="1" ht="12.95" customHeight="1" x14ac:dyDescent="0.2">
      <c r="A8" s="263">
        <v>2</v>
      </c>
      <c r="B8" s="68"/>
      <c r="C8" s="69" t="s">
        <v>1</v>
      </c>
      <c r="D8" s="116">
        <f>E8/$E$35</f>
        <v>0.30599999999999999</v>
      </c>
      <c r="E8" s="130">
        <f>_2</f>
        <v>9000000</v>
      </c>
      <c r="F8" s="64"/>
      <c r="G8" s="64"/>
      <c r="H8" s="96">
        <v>1</v>
      </c>
      <c r="I8" s="130">
        <f>E8*H8</f>
        <v>9000000</v>
      </c>
      <c r="J8" s="31"/>
    </row>
    <row r="9" spans="1:10" ht="3" customHeight="1" x14ac:dyDescent="0.2">
      <c r="D9" s="117"/>
      <c r="E9" s="221"/>
      <c r="H9" s="92"/>
      <c r="I9" s="102"/>
      <c r="J9" s="31"/>
    </row>
    <row r="10" spans="1:10" s="9" customFormat="1" ht="12.95" customHeight="1" x14ac:dyDescent="0.2">
      <c r="A10" s="263">
        <v>3</v>
      </c>
      <c r="B10" s="68"/>
      <c r="C10" s="69" t="s">
        <v>7</v>
      </c>
      <c r="D10" s="116">
        <f>E10/$E$35</f>
        <v>0.192</v>
      </c>
      <c r="E10" s="131">
        <f>_3</f>
        <v>5650000</v>
      </c>
      <c r="F10" s="64"/>
      <c r="G10" s="64"/>
      <c r="H10" s="92"/>
      <c r="I10" s="102"/>
      <c r="J10" s="31"/>
    </row>
    <row r="11" spans="1:10" ht="12.95" customHeight="1" x14ac:dyDescent="0.2">
      <c r="A11" s="265">
        <v>3</v>
      </c>
      <c r="B11" s="72" t="s">
        <v>17</v>
      </c>
      <c r="C11" s="73" t="s">
        <v>18</v>
      </c>
      <c r="D11" s="118"/>
      <c r="E11" s="127">
        <f>_3.01</f>
        <v>900000</v>
      </c>
      <c r="F11" s="64"/>
      <c r="G11" s="64"/>
      <c r="H11" s="96">
        <v>1</v>
      </c>
      <c r="I11" s="132">
        <f t="shared" ref="I11:I18" si="0">E11*H11</f>
        <v>900000</v>
      </c>
      <c r="J11" s="31"/>
    </row>
    <row r="12" spans="1:10" ht="12.95" customHeight="1" x14ac:dyDescent="0.2">
      <c r="A12" s="262">
        <v>3</v>
      </c>
      <c r="B12" s="76" t="s">
        <v>19</v>
      </c>
      <c r="C12" s="77" t="s">
        <v>26</v>
      </c>
      <c r="D12" s="119"/>
      <c r="E12" s="128">
        <f>_3.02</f>
        <v>1200000</v>
      </c>
      <c r="F12" s="64"/>
      <c r="G12" s="64"/>
      <c r="H12" s="96">
        <v>1</v>
      </c>
      <c r="I12" s="168">
        <f t="shared" si="0"/>
        <v>1200000</v>
      </c>
      <c r="J12" s="31"/>
    </row>
    <row r="13" spans="1:10" ht="12.95" customHeight="1" x14ac:dyDescent="0.2">
      <c r="A13" s="262">
        <v>3</v>
      </c>
      <c r="B13" s="76" t="s">
        <v>20</v>
      </c>
      <c r="C13" s="77" t="s">
        <v>27</v>
      </c>
      <c r="D13" s="119"/>
      <c r="E13" s="129">
        <f>_3.03</f>
        <v>1000000</v>
      </c>
      <c r="F13" s="64"/>
      <c r="G13" s="64"/>
      <c r="H13" s="96">
        <v>1</v>
      </c>
      <c r="I13" s="168">
        <f t="shared" si="0"/>
        <v>1000000</v>
      </c>
      <c r="J13" s="31"/>
    </row>
    <row r="14" spans="1:10" ht="12.95" customHeight="1" x14ac:dyDescent="0.2">
      <c r="A14" s="262">
        <v>3</v>
      </c>
      <c r="B14" s="76" t="s">
        <v>21</v>
      </c>
      <c r="C14" s="77" t="s">
        <v>28</v>
      </c>
      <c r="D14" s="119"/>
      <c r="E14" s="129">
        <f>_3.04</f>
        <v>1500000</v>
      </c>
      <c r="F14" s="64"/>
      <c r="G14" s="64"/>
      <c r="H14" s="96">
        <v>1</v>
      </c>
      <c r="I14" s="168">
        <f t="shared" si="0"/>
        <v>1500000</v>
      </c>
      <c r="J14" s="31"/>
    </row>
    <row r="15" spans="1:10" ht="12.95" customHeight="1" x14ac:dyDescent="0.2">
      <c r="A15" s="262">
        <v>3</v>
      </c>
      <c r="B15" s="76" t="s">
        <v>22</v>
      </c>
      <c r="C15" s="77" t="s">
        <v>31</v>
      </c>
      <c r="D15" s="119"/>
      <c r="E15" s="129">
        <f>_3.05</f>
        <v>600000</v>
      </c>
      <c r="F15" s="64"/>
      <c r="G15" s="64"/>
      <c r="H15" s="96">
        <v>1</v>
      </c>
      <c r="I15" s="168">
        <f t="shared" si="0"/>
        <v>600000</v>
      </c>
      <c r="J15" s="31"/>
    </row>
    <row r="16" spans="1:10" ht="12.95" customHeight="1" x14ac:dyDescent="0.2">
      <c r="A16" s="262">
        <v>3</v>
      </c>
      <c r="B16" s="76" t="s">
        <v>23</v>
      </c>
      <c r="C16" s="77" t="s">
        <v>29</v>
      </c>
      <c r="D16" s="119"/>
      <c r="E16" s="129">
        <f>_3.06</f>
        <v>150000</v>
      </c>
      <c r="F16" s="64"/>
      <c r="G16" s="64"/>
      <c r="H16" s="96">
        <v>1</v>
      </c>
      <c r="I16" s="168">
        <f t="shared" si="0"/>
        <v>150000</v>
      </c>
      <c r="J16" s="31"/>
    </row>
    <row r="17" spans="1:10" ht="12.95" customHeight="1" x14ac:dyDescent="0.2">
      <c r="A17" s="262">
        <v>3</v>
      </c>
      <c r="B17" s="76" t="s">
        <v>24</v>
      </c>
      <c r="C17" s="77" t="s">
        <v>30</v>
      </c>
      <c r="D17" s="119"/>
      <c r="E17" s="129">
        <f>_3.07</f>
        <v>0</v>
      </c>
      <c r="F17" s="64"/>
      <c r="G17" s="64"/>
      <c r="H17" s="96">
        <v>0</v>
      </c>
      <c r="I17" s="168">
        <f t="shared" si="0"/>
        <v>0</v>
      </c>
      <c r="J17" s="31"/>
    </row>
    <row r="18" spans="1:10" ht="12.95" customHeight="1" x14ac:dyDescent="0.2">
      <c r="A18" s="262">
        <v>3</v>
      </c>
      <c r="B18" s="76" t="s">
        <v>25</v>
      </c>
      <c r="C18" s="77" t="s">
        <v>8</v>
      </c>
      <c r="D18" s="119"/>
      <c r="E18" s="129">
        <f>_3.08</f>
        <v>300000</v>
      </c>
      <c r="F18" s="64"/>
      <c r="G18" s="64"/>
      <c r="H18" s="96">
        <v>1</v>
      </c>
      <c r="I18" s="169">
        <f t="shared" si="0"/>
        <v>300000</v>
      </c>
      <c r="J18" s="31"/>
    </row>
    <row r="19" spans="1:10" ht="3" customHeight="1" x14ac:dyDescent="0.2">
      <c r="D19" s="117"/>
      <c r="E19" s="102"/>
      <c r="H19" s="97"/>
      <c r="I19" s="102"/>
      <c r="J19" s="139"/>
    </row>
    <row r="20" spans="1:10" s="9" customFormat="1" ht="12.75" customHeight="1" x14ac:dyDescent="0.2">
      <c r="A20" s="263">
        <v>4</v>
      </c>
      <c r="B20" s="68"/>
      <c r="C20" s="69" t="s">
        <v>2</v>
      </c>
      <c r="D20" s="116">
        <f>E20/$E$35</f>
        <v>0.20399999999999999</v>
      </c>
      <c r="E20" s="130">
        <f>_4</f>
        <v>6000000</v>
      </c>
      <c r="F20" s="64"/>
      <c r="G20" s="64"/>
      <c r="H20" s="96">
        <v>1</v>
      </c>
      <c r="I20" s="130">
        <f>E20*H20</f>
        <v>6000000</v>
      </c>
      <c r="J20" s="31"/>
    </row>
    <row r="21" spans="1:10" ht="3" customHeight="1" x14ac:dyDescent="0.2">
      <c r="B21" s="5"/>
      <c r="D21" s="117"/>
      <c r="E21" s="102"/>
      <c r="H21" s="92"/>
      <c r="I21" s="102"/>
      <c r="J21" s="30"/>
    </row>
    <row r="22" spans="1:10" s="10" customFormat="1" ht="12.95" customHeight="1" x14ac:dyDescent="0.2">
      <c r="A22" s="263">
        <v>5</v>
      </c>
      <c r="B22" s="68"/>
      <c r="C22" s="69" t="s">
        <v>9</v>
      </c>
      <c r="D22" s="116">
        <f>E22/$E$35</f>
        <v>5.6000000000000001E-2</v>
      </c>
      <c r="E22" s="132">
        <f>_5</f>
        <v>1650000</v>
      </c>
      <c r="F22" s="64"/>
      <c r="G22" s="64"/>
      <c r="H22" s="92"/>
      <c r="I22" s="170"/>
      <c r="J22" s="31"/>
    </row>
    <row r="23" spans="1:10" ht="12.95" customHeight="1" x14ac:dyDescent="0.2">
      <c r="A23" s="265">
        <v>5</v>
      </c>
      <c r="B23" s="79" t="s">
        <v>17</v>
      </c>
      <c r="C23" s="73" t="s">
        <v>85</v>
      </c>
      <c r="D23" s="118"/>
      <c r="E23" s="128">
        <f>_5.01</f>
        <v>600000</v>
      </c>
      <c r="F23" s="64"/>
      <c r="G23" s="64"/>
      <c r="H23" s="220">
        <v>1</v>
      </c>
      <c r="I23" s="168">
        <f>H23*E23</f>
        <v>600000</v>
      </c>
      <c r="J23" s="31"/>
    </row>
    <row r="24" spans="1:10" ht="12.95" customHeight="1" x14ac:dyDescent="0.2">
      <c r="A24" s="264">
        <v>5</v>
      </c>
      <c r="B24" s="80" t="s">
        <v>19</v>
      </c>
      <c r="C24" s="208" t="s">
        <v>86</v>
      </c>
      <c r="D24" s="219"/>
      <c r="E24" s="128">
        <f>_5.02</f>
        <v>1000000</v>
      </c>
      <c r="F24" s="64"/>
      <c r="G24" s="64"/>
      <c r="H24" s="220">
        <v>0.6</v>
      </c>
      <c r="I24" s="168">
        <f>E24*H24</f>
        <v>600000</v>
      </c>
      <c r="J24" s="31"/>
    </row>
    <row r="25" spans="1:10" ht="12.95" customHeight="1" x14ac:dyDescent="0.2">
      <c r="A25" s="264">
        <v>5</v>
      </c>
      <c r="B25" s="80" t="s">
        <v>20</v>
      </c>
      <c r="C25" s="77" t="s">
        <v>45</v>
      </c>
      <c r="D25" s="119"/>
      <c r="E25" s="128">
        <f>_5.03</f>
        <v>50000</v>
      </c>
      <c r="F25" s="2"/>
      <c r="G25" s="2"/>
      <c r="H25" s="220">
        <v>0</v>
      </c>
      <c r="I25" s="168">
        <f>E25*H25</f>
        <v>0</v>
      </c>
      <c r="J25" s="31"/>
    </row>
    <row r="26" spans="1:10" ht="3" customHeight="1" x14ac:dyDescent="0.2">
      <c r="D26" s="117"/>
      <c r="E26" s="102"/>
      <c r="H26" s="92"/>
      <c r="I26" s="102"/>
      <c r="J26" s="31"/>
    </row>
    <row r="27" spans="1:10" s="9" customFormat="1" ht="12.95" customHeight="1" x14ac:dyDescent="0.2">
      <c r="A27" s="263">
        <v>6</v>
      </c>
      <c r="B27" s="68"/>
      <c r="C27" s="69" t="s">
        <v>3</v>
      </c>
      <c r="D27" s="116">
        <f>E27/$E$35</f>
        <v>1.7000000000000001E-2</v>
      </c>
      <c r="E27" s="130">
        <f>_6</f>
        <v>500000</v>
      </c>
      <c r="F27" s="64"/>
      <c r="G27" s="64"/>
      <c r="H27" s="96">
        <v>0</v>
      </c>
      <c r="I27" s="130">
        <f>E27*H27</f>
        <v>0</v>
      </c>
      <c r="J27" s="31"/>
    </row>
    <row r="28" spans="1:10" ht="3" customHeight="1" x14ac:dyDescent="0.2">
      <c r="B28" s="4"/>
      <c r="D28" s="120"/>
      <c r="E28" s="102"/>
      <c r="H28" s="92"/>
      <c r="I28" s="102"/>
      <c r="J28" s="31"/>
    </row>
    <row r="29" spans="1:10" s="10" customFormat="1" ht="12.95" customHeight="1" x14ac:dyDescent="0.2">
      <c r="A29" s="263">
        <v>7</v>
      </c>
      <c r="B29" s="68"/>
      <c r="C29" s="69" t="s">
        <v>78</v>
      </c>
      <c r="D29" s="116">
        <f>E29/$E$35</f>
        <v>0.17</v>
      </c>
      <c r="E29" s="130">
        <f>_7</f>
        <v>5000000</v>
      </c>
      <c r="F29" s="64"/>
      <c r="G29" s="64"/>
      <c r="H29" s="96">
        <v>0</v>
      </c>
      <c r="I29" s="130">
        <f>E29*H29</f>
        <v>0</v>
      </c>
      <c r="J29" s="31"/>
    </row>
    <row r="30" spans="1:10" ht="3" customHeight="1" x14ac:dyDescent="0.2">
      <c r="D30" s="120"/>
      <c r="E30" s="102"/>
      <c r="H30" s="92"/>
      <c r="I30" s="102"/>
      <c r="J30" s="31"/>
    </row>
    <row r="31" spans="1:10" s="10" customFormat="1" ht="12.95" customHeight="1" x14ac:dyDescent="0.2">
      <c r="A31" s="263">
        <v>8</v>
      </c>
      <c r="B31" s="68"/>
      <c r="C31" s="69" t="s">
        <v>111</v>
      </c>
      <c r="D31" s="116">
        <f>E31/$E$35</f>
        <v>1E-3</v>
      </c>
      <c r="E31" s="130">
        <f>_8</f>
        <v>36000</v>
      </c>
      <c r="F31" s="64"/>
      <c r="G31" s="64"/>
      <c r="H31" s="96">
        <v>0</v>
      </c>
      <c r="I31" s="130">
        <f>E31*H31</f>
        <v>0</v>
      </c>
      <c r="J31" s="31"/>
    </row>
    <row r="32" spans="1:10" ht="3" customHeight="1" x14ac:dyDescent="0.2">
      <c r="D32" s="120"/>
      <c r="E32" s="102"/>
      <c r="H32" s="97"/>
      <c r="I32" s="102"/>
      <c r="J32" s="139"/>
    </row>
    <row r="33" spans="1:10" s="10" customFormat="1" ht="12.95" customHeight="1" x14ac:dyDescent="0.2">
      <c r="A33" s="263">
        <v>9</v>
      </c>
      <c r="B33" s="68"/>
      <c r="C33" s="69" t="s">
        <v>10</v>
      </c>
      <c r="D33" s="116">
        <f>E33/$E$35</f>
        <v>5.3999999999999999E-2</v>
      </c>
      <c r="E33" s="130">
        <f>_9</f>
        <v>1600000</v>
      </c>
      <c r="F33" s="64"/>
      <c r="G33" s="64"/>
      <c r="H33" s="96">
        <v>0.1</v>
      </c>
      <c r="I33" s="130">
        <f>E33*H33</f>
        <v>160000</v>
      </c>
      <c r="J33" s="31"/>
    </row>
    <row r="34" spans="1:10" ht="12" customHeight="1" x14ac:dyDescent="0.2">
      <c r="B34" s="4"/>
      <c r="D34" s="29"/>
      <c r="H34" s="1"/>
      <c r="I34" s="1"/>
      <c r="J34" s="1"/>
    </row>
    <row r="35" spans="1:10" ht="12.95" customHeight="1" x14ac:dyDescent="0.25">
      <c r="A35" s="190" t="s">
        <v>12</v>
      </c>
      <c r="B35" s="191"/>
      <c r="C35" s="191"/>
      <c r="D35" s="222">
        <f>SUM(D6:D33)</f>
        <v>1</v>
      </c>
      <c r="E35" s="82">
        <f>_EK</f>
        <v>29451000</v>
      </c>
      <c r="F35" s="55"/>
      <c r="G35" s="55"/>
      <c r="H35" s="163"/>
      <c r="I35" s="20"/>
      <c r="J35" s="20"/>
    </row>
    <row r="36" spans="1:10" ht="3" customHeight="1" x14ac:dyDescent="0.2">
      <c r="D36" s="29"/>
      <c r="F36" s="8"/>
      <c r="G36" s="8"/>
      <c r="H36" s="1"/>
      <c r="I36" s="1"/>
      <c r="J36" s="20"/>
    </row>
    <row r="37" spans="1:10" ht="12.95" customHeight="1" x14ac:dyDescent="0.2">
      <c r="A37" s="263"/>
      <c r="B37" s="68" t="s">
        <v>91</v>
      </c>
      <c r="C37" s="69"/>
      <c r="D37" s="116"/>
      <c r="E37" s="130">
        <f>_mvB</f>
        <v>150000</v>
      </c>
      <c r="F37" s="64"/>
      <c r="G37" s="64"/>
      <c r="H37" s="220">
        <v>0</v>
      </c>
      <c r="I37" s="130">
        <f>E37*H37</f>
        <v>0</v>
      </c>
      <c r="J37" s="20"/>
    </row>
    <row r="38" spans="1:10" ht="3" customHeight="1" x14ac:dyDescent="0.2">
      <c r="E38" s="29"/>
    </row>
    <row r="39" spans="1:10" s="13" customFormat="1" ht="12.95" customHeight="1" x14ac:dyDescent="0.3">
      <c r="A39" s="192" t="s">
        <v>32</v>
      </c>
      <c r="B39" s="193"/>
      <c r="C39" s="193"/>
      <c r="D39" s="171"/>
      <c r="E39" s="171"/>
      <c r="F39" s="171"/>
      <c r="G39" s="171"/>
      <c r="H39" s="172"/>
      <c r="I39" s="173">
        <f>SUM(I6:I37)</f>
        <v>22010000</v>
      </c>
      <c r="J39" s="276"/>
    </row>
    <row r="40" spans="1:10" s="14" customFormat="1" ht="11.25" customHeight="1" x14ac:dyDescent="0.25">
      <c r="B40" s="15"/>
      <c r="H40" s="143"/>
      <c r="I40" s="143"/>
      <c r="J40" s="143"/>
    </row>
    <row r="41" spans="1:10" ht="12.75" customHeight="1" x14ac:dyDescent="0.2">
      <c r="A41" s="144" t="s">
        <v>117</v>
      </c>
      <c r="B41" s="144"/>
      <c r="C41" s="145"/>
      <c r="D41" s="145"/>
      <c r="E41" s="145"/>
      <c r="F41" s="145"/>
      <c r="G41" s="145"/>
      <c r="H41" s="144"/>
      <c r="I41" s="225"/>
      <c r="J41" s="147"/>
    </row>
    <row r="42" spans="1:10" ht="6.75" customHeight="1" x14ac:dyDescent="0.2">
      <c r="A42" s="146"/>
      <c r="B42" s="146"/>
      <c r="C42" s="146"/>
      <c r="D42" s="146"/>
      <c r="E42" s="146"/>
      <c r="F42" s="146"/>
      <c r="G42" s="146"/>
      <c r="I42" s="224"/>
    </row>
    <row r="43" spans="1:10" ht="12.75" customHeight="1" x14ac:dyDescent="0.2">
      <c r="A43" s="147" t="s">
        <v>62</v>
      </c>
      <c r="B43" s="146"/>
      <c r="C43" s="146"/>
      <c r="D43" s="146"/>
      <c r="E43" s="146"/>
      <c r="F43" s="146"/>
      <c r="G43" s="146"/>
      <c r="I43" s="224"/>
    </row>
    <row r="44" spans="1:10" ht="12.75" customHeight="1" x14ac:dyDescent="0.2">
      <c r="A44" s="16"/>
      <c r="B44" s="16"/>
      <c r="E44" s="148" t="s">
        <v>5</v>
      </c>
      <c r="F44" s="149" t="s">
        <v>4</v>
      </c>
      <c r="H44" s="296" t="s">
        <v>123</v>
      </c>
      <c r="I44" s="296"/>
      <c r="J44" s="277"/>
    </row>
    <row r="45" spans="1:10" ht="12.75" customHeight="1" x14ac:dyDescent="0.2">
      <c r="B45" s="17" t="s">
        <v>39</v>
      </c>
      <c r="C45" s="32"/>
      <c r="D45" s="32"/>
      <c r="E45" s="98">
        <v>23</v>
      </c>
      <c r="F45" s="150" t="s">
        <v>48</v>
      </c>
      <c r="H45" s="239"/>
      <c r="I45" s="240"/>
      <c r="J45" s="277"/>
    </row>
    <row r="46" spans="1:10" ht="12.75" customHeight="1" x14ac:dyDescent="0.2">
      <c r="B46" s="18" t="s">
        <v>40</v>
      </c>
      <c r="C46" s="33"/>
      <c r="D46" s="33"/>
      <c r="E46" s="99">
        <v>2</v>
      </c>
      <c r="F46" s="151" t="s">
        <v>6</v>
      </c>
      <c r="H46" s="241"/>
      <c r="I46" s="242"/>
      <c r="J46" s="277"/>
    </row>
    <row r="47" spans="1:10" ht="12.75" customHeight="1" x14ac:dyDescent="0.2">
      <c r="B47" s="18" t="s">
        <v>41</v>
      </c>
      <c r="C47" s="33"/>
      <c r="D47" s="33"/>
      <c r="E47" s="99">
        <v>1</v>
      </c>
      <c r="F47" s="151" t="s">
        <v>6</v>
      </c>
      <c r="H47" s="241"/>
      <c r="I47" s="242"/>
      <c r="J47" s="277"/>
    </row>
    <row r="48" spans="1:10" ht="12.75" customHeight="1" x14ac:dyDescent="0.2">
      <c r="B48" s="18" t="s">
        <v>42</v>
      </c>
      <c r="C48" s="33"/>
      <c r="D48" s="33"/>
      <c r="E48" s="99">
        <v>1</v>
      </c>
      <c r="F48" s="151" t="s">
        <v>6</v>
      </c>
      <c r="H48" s="243"/>
      <c r="I48" s="244"/>
      <c r="J48" s="277"/>
    </row>
    <row r="49" spans="1:11" ht="3" customHeight="1" x14ac:dyDescent="0.2">
      <c r="A49" s="16"/>
      <c r="B49" s="16"/>
      <c r="E49" s="152"/>
      <c r="F49" s="152"/>
      <c r="I49" s="226"/>
      <c r="J49" s="277"/>
    </row>
    <row r="50" spans="1:11" ht="12.75" customHeight="1" x14ac:dyDescent="0.2">
      <c r="A50" s="16"/>
      <c r="B50" s="16"/>
      <c r="C50" s="298" t="s">
        <v>133</v>
      </c>
      <c r="D50" s="299"/>
      <c r="E50" s="99">
        <v>0</v>
      </c>
      <c r="F50" s="151" t="s">
        <v>134</v>
      </c>
      <c r="H50" s="241"/>
      <c r="I50" s="242"/>
      <c r="J50" s="1"/>
      <c r="K50" s="277"/>
    </row>
    <row r="51" spans="1:11" ht="12.75" customHeight="1" x14ac:dyDescent="0.2">
      <c r="A51" s="16"/>
      <c r="B51" s="16"/>
      <c r="C51" s="298" t="s">
        <v>135</v>
      </c>
      <c r="D51" s="299"/>
      <c r="E51" s="99">
        <v>0</v>
      </c>
      <c r="F51" s="151" t="s">
        <v>136</v>
      </c>
      <c r="H51" s="243"/>
      <c r="I51" s="244"/>
      <c r="J51" s="1"/>
      <c r="K51" s="277"/>
    </row>
    <row r="52" spans="1:11" ht="4.5" customHeight="1" x14ac:dyDescent="0.2">
      <c r="A52" s="16"/>
      <c r="B52" s="16"/>
      <c r="E52" s="152"/>
      <c r="F52" s="152"/>
      <c r="I52" s="226"/>
      <c r="J52" s="277"/>
    </row>
    <row r="53" spans="1:11" ht="12.75" customHeight="1" x14ac:dyDescent="0.2">
      <c r="B53" s="16" t="s">
        <v>38</v>
      </c>
      <c r="C53" s="153"/>
      <c r="D53" s="154"/>
      <c r="E53" s="155">
        <f>SUM(E45:E52)</f>
        <v>27</v>
      </c>
      <c r="F53" s="154"/>
      <c r="I53" s="226"/>
      <c r="J53" s="1"/>
    </row>
    <row r="54" spans="1:11" ht="4.3499999999999996" customHeight="1" x14ac:dyDescent="0.2">
      <c r="B54" s="1"/>
      <c r="C54" s="154"/>
      <c r="D54" s="154"/>
      <c r="E54" s="154"/>
      <c r="F54" s="154"/>
      <c r="I54" s="226"/>
      <c r="J54" s="1"/>
    </row>
    <row r="55" spans="1:11" ht="12.95" customHeight="1" x14ac:dyDescent="0.2">
      <c r="A55" s="147" t="s">
        <v>15</v>
      </c>
      <c r="B55" s="146"/>
      <c r="C55" s="146"/>
      <c r="D55" s="146"/>
      <c r="E55" s="146"/>
      <c r="F55" s="146"/>
      <c r="H55" s="223"/>
      <c r="I55" s="1"/>
    </row>
    <row r="56" spans="1:11" ht="4.3499999999999996" customHeight="1" x14ac:dyDescent="0.2">
      <c r="A56" s="147"/>
      <c r="B56" s="147"/>
      <c r="C56" s="147"/>
      <c r="I56" s="1"/>
    </row>
    <row r="57" spans="1:11" ht="12.75" customHeight="1" x14ac:dyDescent="0.2">
      <c r="A57" s="156" t="s">
        <v>59</v>
      </c>
      <c r="B57" s="1"/>
      <c r="E57" s="189">
        <f>I39</f>
        <v>22010000</v>
      </c>
      <c r="I57" s="1"/>
    </row>
    <row r="58" spans="1:11" ht="12.75" customHeight="1" x14ac:dyDescent="0.25">
      <c r="A58" s="16" t="s">
        <v>108</v>
      </c>
      <c r="B58" s="16"/>
      <c r="I58"/>
    </row>
    <row r="59" spans="1:11" ht="25.5" customHeight="1" x14ac:dyDescent="0.25">
      <c r="A59" s="297" t="s">
        <v>130</v>
      </c>
      <c r="B59" s="297"/>
      <c r="C59" s="297"/>
      <c r="D59" s="297"/>
      <c r="E59" s="297"/>
      <c r="F59" s="1" t="s">
        <v>109</v>
      </c>
      <c r="I59"/>
    </row>
    <row r="60" spans="1:11" ht="8.1" customHeight="1" x14ac:dyDescent="0.25">
      <c r="A60" s="16"/>
      <c r="B60" s="16"/>
      <c r="F60" s="93"/>
      <c r="I60"/>
    </row>
    <row r="61" spans="1:11" ht="13.5" customHeight="1" x14ac:dyDescent="0.3">
      <c r="A61" s="21" t="s">
        <v>115</v>
      </c>
      <c r="B61" s="21"/>
      <c r="F61" s="195">
        <f>0.021*E53+0.761</f>
        <v>1.33</v>
      </c>
      <c r="G61" s="101"/>
      <c r="I61"/>
    </row>
    <row r="62" spans="1:11" ht="4.3499999999999996" customHeight="1" x14ac:dyDescent="0.25">
      <c r="A62" s="16"/>
      <c r="B62" s="16"/>
      <c r="F62" s="26"/>
      <c r="G62" s="101"/>
      <c r="I62"/>
    </row>
    <row r="63" spans="1:11" ht="13.5" customHeight="1" x14ac:dyDescent="0.25">
      <c r="A63" s="21" t="str">
        <f>IF(A59=A100,A106,IF(A59=A101,A107,IF(A59=A102,A108,IF(A59=A103,A109,A110))))</f>
        <v>%-Satz für NH [hNH = 1,2 x 117,0700 x (BMGL)^(-0,41731) x fbw]</v>
      </c>
      <c r="B63" s="21"/>
      <c r="F63" s="199">
        <f>ROUND(IF(A59=A100,1*117.07*E57^(-0.41731)*F61,IF(A59=A101,0.6*117.07*E57^(-0.41731)*F61,IF(A59=A102,0.3*117.07*E57^(-0.41731)*F61,IF(A59=A103,0.4*117.07*E57^(-0.41731)*F61,1.2*117.07*E57^(-0.41731)*F61))))/100,6)</f>
        <v>1.6119999999999999E-3</v>
      </c>
      <c r="G63" s="194" t="s">
        <v>74</v>
      </c>
      <c r="I63"/>
    </row>
    <row r="64" spans="1:11" ht="13.5" customHeight="1" x14ac:dyDescent="0.25">
      <c r="A64" s="16" t="s">
        <v>92</v>
      </c>
      <c r="B64" s="16"/>
      <c r="F64" s="176">
        <v>0</v>
      </c>
      <c r="G64" s="194"/>
      <c r="I64"/>
    </row>
    <row r="65" spans="1:10" ht="4.3499999999999996" customHeight="1" x14ac:dyDescent="0.25">
      <c r="A65" s="16"/>
      <c r="B65" s="16"/>
      <c r="F65" s="157"/>
      <c r="G65" s="157"/>
      <c r="I65"/>
    </row>
    <row r="66" spans="1:10" ht="13.5" customHeight="1" x14ac:dyDescent="0.3">
      <c r="A66" s="19" t="s">
        <v>142</v>
      </c>
      <c r="B66" s="19"/>
      <c r="C66" s="32"/>
      <c r="D66" s="32"/>
      <c r="E66" s="32"/>
      <c r="F66" s="284">
        <f>E57*F63*(1+F64)</f>
        <v>35480.120000000003</v>
      </c>
      <c r="G66" s="194"/>
      <c r="I66"/>
    </row>
    <row r="67" spans="1:10" ht="4.5" customHeight="1" x14ac:dyDescent="0.25">
      <c r="A67" s="16"/>
      <c r="B67" s="16"/>
      <c r="F67" s="26"/>
      <c r="G67" s="101"/>
      <c r="I67"/>
    </row>
    <row r="68" spans="1:10" ht="12.95" customHeight="1" x14ac:dyDescent="0.2">
      <c r="A68" s="21"/>
      <c r="B68" s="16"/>
      <c r="C68" s="146"/>
      <c r="D68" s="238" t="s">
        <v>98</v>
      </c>
      <c r="E68" s="237" t="s">
        <v>5</v>
      </c>
      <c r="F68" s="160"/>
      <c r="I68" s="27"/>
    </row>
    <row r="69" spans="1:10" ht="12.75" customHeight="1" x14ac:dyDescent="0.25">
      <c r="A69" s="146" t="s">
        <v>68</v>
      </c>
      <c r="B69" s="161"/>
      <c r="D69" s="235">
        <v>0.03</v>
      </c>
      <c r="E69" s="175">
        <v>0.03</v>
      </c>
      <c r="F69" s="198">
        <f t="shared" ref="F69:F78" si="1">$F$66*E69</f>
        <v>1064</v>
      </c>
      <c r="I69"/>
    </row>
    <row r="70" spans="1:10" ht="12.75" customHeight="1" x14ac:dyDescent="0.25">
      <c r="A70" s="146" t="s">
        <v>33</v>
      </c>
      <c r="B70" s="161"/>
      <c r="D70" s="235">
        <v>0.17</v>
      </c>
      <c r="E70" s="176">
        <v>0.17</v>
      </c>
      <c r="F70" s="198">
        <f t="shared" si="1"/>
        <v>6032</v>
      </c>
      <c r="I70"/>
    </row>
    <row r="71" spans="1:10" ht="12.75" customHeight="1" x14ac:dyDescent="0.25">
      <c r="A71" s="146" t="s">
        <v>34</v>
      </c>
      <c r="B71" s="161"/>
      <c r="D71" s="235">
        <v>0.35</v>
      </c>
      <c r="E71" s="176">
        <v>0.35</v>
      </c>
      <c r="F71" s="198">
        <f t="shared" si="1"/>
        <v>12418</v>
      </c>
      <c r="I71"/>
    </row>
    <row r="72" spans="1:10" ht="12.75" customHeight="1" x14ac:dyDescent="0.25">
      <c r="A72" s="146" t="s">
        <v>35</v>
      </c>
      <c r="B72" s="161"/>
      <c r="D72" s="235">
        <v>0.05</v>
      </c>
      <c r="E72" s="176">
        <v>0.05</v>
      </c>
      <c r="F72" s="198">
        <f t="shared" si="1"/>
        <v>1774</v>
      </c>
      <c r="I72"/>
    </row>
    <row r="73" spans="1:10" ht="12.75" customHeight="1" x14ac:dyDescent="0.25">
      <c r="A73" s="146" t="s">
        <v>51</v>
      </c>
      <c r="B73" s="161"/>
      <c r="D73" s="235">
        <v>0.27</v>
      </c>
      <c r="E73" s="176">
        <v>0.27</v>
      </c>
      <c r="F73" s="198">
        <f t="shared" si="1"/>
        <v>9580</v>
      </c>
      <c r="I73"/>
    </row>
    <row r="74" spans="1:10" ht="12.75" customHeight="1" x14ac:dyDescent="0.25">
      <c r="A74" s="146" t="s">
        <v>36</v>
      </c>
      <c r="B74" s="161"/>
      <c r="D74" s="235">
        <v>0.02</v>
      </c>
      <c r="E74" s="176">
        <v>0.02</v>
      </c>
      <c r="F74" s="198">
        <f t="shared" si="1"/>
        <v>710</v>
      </c>
      <c r="I74"/>
    </row>
    <row r="75" spans="1:10" ht="12.75" customHeight="1" x14ac:dyDescent="0.25">
      <c r="A75" s="146" t="s">
        <v>49</v>
      </c>
      <c r="B75" s="161"/>
      <c r="D75" s="235">
        <v>0.02</v>
      </c>
      <c r="E75" s="176">
        <v>0.02</v>
      </c>
      <c r="F75" s="198">
        <f t="shared" si="1"/>
        <v>710</v>
      </c>
      <c r="I75"/>
    </row>
    <row r="76" spans="1:10" ht="12.75" customHeight="1" x14ac:dyDescent="0.2">
      <c r="A76" s="146" t="s">
        <v>46</v>
      </c>
      <c r="B76" s="161"/>
      <c r="D76" s="235">
        <v>0.09</v>
      </c>
      <c r="E76" s="176">
        <v>0.09</v>
      </c>
      <c r="F76" s="198">
        <f t="shared" si="1"/>
        <v>3193</v>
      </c>
      <c r="H76" s="282"/>
      <c r="I76" s="282"/>
    </row>
    <row r="77" spans="1:10" ht="12.75" customHeight="1" x14ac:dyDescent="0.2">
      <c r="A77" s="146" t="s">
        <v>52</v>
      </c>
      <c r="B77" s="161"/>
      <c r="D77" s="235">
        <v>0</v>
      </c>
      <c r="E77" s="176">
        <v>0</v>
      </c>
      <c r="F77" s="198">
        <f t="shared" si="1"/>
        <v>0</v>
      </c>
      <c r="H77" s="282"/>
      <c r="I77" s="282"/>
    </row>
    <row r="78" spans="1:10" ht="12.75" customHeight="1" x14ac:dyDescent="0.2">
      <c r="A78" s="158" t="s">
        <v>47</v>
      </c>
      <c r="B78" s="162"/>
      <c r="C78" s="32"/>
      <c r="D78" s="236">
        <v>0</v>
      </c>
      <c r="E78" s="177">
        <v>0</v>
      </c>
      <c r="F78" s="234">
        <f t="shared" si="1"/>
        <v>0</v>
      </c>
      <c r="G78" s="39"/>
      <c r="H78" s="39"/>
      <c r="I78" s="39"/>
    </row>
    <row r="79" spans="1:10" s="14" customFormat="1" ht="18.600000000000001" customHeight="1" x14ac:dyDescent="0.25">
      <c r="A79" s="229" t="s">
        <v>119</v>
      </c>
      <c r="B79" s="251"/>
      <c r="D79" s="259">
        <f>SUM(D69:D78)</f>
        <v>1</v>
      </c>
      <c r="E79" s="252">
        <f>SUM(E69:E78)</f>
        <v>1</v>
      </c>
      <c r="F79" s="253">
        <f>SUM(F69:F78)</f>
        <v>35481</v>
      </c>
      <c r="H79" s="254"/>
      <c r="I79" s="255"/>
    </row>
    <row r="80" spans="1:10" ht="12.75" customHeight="1" x14ac:dyDescent="0.25">
      <c r="A80" s="301" t="s">
        <v>105</v>
      </c>
      <c r="B80" s="302"/>
      <c r="D80" s="235">
        <v>0.1</v>
      </c>
      <c r="E80" s="247">
        <v>0</v>
      </c>
      <c r="F80" s="224">
        <f>$F$66*E80</f>
        <v>0</v>
      </c>
      <c r="I80"/>
      <c r="J80" s="1"/>
    </row>
    <row r="81" spans="1:10" ht="12.75" customHeight="1" x14ac:dyDescent="0.25">
      <c r="A81" s="301" t="s">
        <v>124</v>
      </c>
      <c r="B81" s="302"/>
      <c r="D81" s="235">
        <v>0.02</v>
      </c>
      <c r="E81" s="248">
        <v>0</v>
      </c>
      <c r="F81" s="224">
        <f>$F$66*E81</f>
        <v>0</v>
      </c>
      <c r="I81"/>
      <c r="J81" s="1"/>
    </row>
    <row r="82" spans="1:10" ht="12.75" customHeight="1" x14ac:dyDescent="0.25">
      <c r="A82" s="303" t="s">
        <v>125</v>
      </c>
      <c r="B82" s="304"/>
      <c r="C82" s="32"/>
      <c r="D82" s="236">
        <v>0.02</v>
      </c>
      <c r="E82" s="177">
        <v>0</v>
      </c>
      <c r="F82" s="249">
        <f>$F$66*E82</f>
        <v>0</v>
      </c>
      <c r="G82" s="32"/>
      <c r="H82" s="39"/>
      <c r="I82" s="268"/>
      <c r="J82" s="1"/>
    </row>
    <row r="83" spans="1:10" ht="13.5" customHeight="1" x14ac:dyDescent="0.2">
      <c r="A83" s="289" t="s">
        <v>132</v>
      </c>
      <c r="B83" s="289"/>
      <c r="C83" s="289"/>
      <c r="D83" s="258">
        <f>SUM(D79:D82)</f>
        <v>1.1399999999999999</v>
      </c>
      <c r="E83" s="230">
        <f>SUM(E80:E82)+E79</f>
        <v>1</v>
      </c>
      <c r="F83" s="256">
        <f>SUM(F80:F82)+F79</f>
        <v>35481</v>
      </c>
      <c r="I83" s="91">
        <f>F83</f>
        <v>35481</v>
      </c>
      <c r="J83" s="20"/>
    </row>
    <row r="84" spans="1:10" ht="12.75" customHeight="1" x14ac:dyDescent="0.25">
      <c r="F84" s="231"/>
      <c r="I84"/>
    </row>
    <row r="85" spans="1:10" ht="12" customHeight="1" x14ac:dyDescent="0.2">
      <c r="A85" s="30" t="s">
        <v>79</v>
      </c>
      <c r="E85" s="196">
        <v>0</v>
      </c>
      <c r="F85" s="197">
        <v>0</v>
      </c>
      <c r="I85" s="91">
        <f>E85*F85</f>
        <v>0</v>
      </c>
    </row>
    <row r="86" spans="1:10" ht="4.3499999999999996" customHeight="1" x14ac:dyDescent="0.25">
      <c r="A86" s="16"/>
      <c r="B86" s="16"/>
      <c r="F86" s="26"/>
      <c r="G86" s="101"/>
      <c r="I86"/>
    </row>
    <row r="87" spans="1:10" s="21" customFormat="1" ht="12.75" x14ac:dyDescent="0.2">
      <c r="A87" s="86" t="s">
        <v>118</v>
      </c>
      <c r="B87" s="88"/>
      <c r="C87" s="88"/>
      <c r="D87" s="89"/>
      <c r="E87" s="90"/>
      <c r="F87" s="232"/>
      <c r="G87" s="89"/>
      <c r="H87" s="89"/>
      <c r="I87" s="91">
        <f>I83+I85</f>
        <v>35481</v>
      </c>
    </row>
    <row r="88" spans="1:10" s="21" customFormat="1" ht="4.3499999999999996" customHeight="1" x14ac:dyDescent="0.2">
      <c r="B88" s="23"/>
      <c r="C88" s="23"/>
      <c r="D88" s="40"/>
      <c r="E88" s="41"/>
      <c r="F88" s="178"/>
      <c r="G88" s="42"/>
      <c r="I88" s="83"/>
    </row>
    <row r="89" spans="1:10" s="21" customFormat="1" ht="12.75" x14ac:dyDescent="0.2">
      <c r="A89" s="43" t="s">
        <v>13</v>
      </c>
      <c r="B89" s="23"/>
      <c r="C89" s="23"/>
      <c r="D89" s="41"/>
      <c r="E89" s="41"/>
      <c r="F89" s="179">
        <v>0.04</v>
      </c>
      <c r="G89" s="42"/>
      <c r="I89" s="84">
        <f>ROUND(I87*F89,2)</f>
        <v>1419</v>
      </c>
    </row>
    <row r="90" spans="1:10" s="21" customFormat="1" ht="3" customHeight="1" x14ac:dyDescent="0.2">
      <c r="A90" s="44"/>
      <c r="B90" s="46"/>
      <c r="C90" s="46"/>
      <c r="D90" s="49"/>
      <c r="E90" s="49"/>
      <c r="F90" s="180"/>
      <c r="G90" s="56"/>
      <c r="H90" s="44"/>
      <c r="I90" s="85"/>
    </row>
    <row r="91" spans="1:10" s="21" customFormat="1" ht="3" customHeight="1" x14ac:dyDescent="0.2">
      <c r="B91" s="23"/>
      <c r="C91" s="23"/>
      <c r="D91" s="50"/>
      <c r="E91" s="50"/>
      <c r="F91" s="181"/>
      <c r="G91" s="57"/>
      <c r="H91" s="51"/>
      <c r="I91" s="83"/>
    </row>
    <row r="92" spans="1:10" s="21" customFormat="1" ht="12.75" x14ac:dyDescent="0.2">
      <c r="A92" s="47" t="s">
        <v>65</v>
      </c>
      <c r="B92" s="48"/>
      <c r="C92" s="48"/>
      <c r="D92" s="24"/>
      <c r="E92" s="24"/>
      <c r="F92" s="178"/>
      <c r="G92" s="42"/>
      <c r="I92" s="84">
        <f>I87+I89</f>
        <v>36900</v>
      </c>
    </row>
    <row r="93" spans="1:10" s="21" customFormat="1" ht="12.75" x14ac:dyDescent="0.2">
      <c r="A93" s="21" t="s">
        <v>14</v>
      </c>
      <c r="C93" s="23"/>
      <c r="D93" s="24"/>
      <c r="E93" s="24"/>
      <c r="F93" s="25">
        <v>0.2</v>
      </c>
      <c r="G93" s="25"/>
      <c r="I93" s="84">
        <f>ROUND(I92*F93,2)</f>
        <v>7380</v>
      </c>
    </row>
    <row r="94" spans="1:10" s="21" customFormat="1" ht="3" customHeight="1" x14ac:dyDescent="0.2">
      <c r="B94" s="23"/>
      <c r="C94" s="23"/>
      <c r="D94" s="24"/>
      <c r="E94" s="24"/>
      <c r="F94" s="178"/>
      <c r="G94" s="42"/>
      <c r="I94" s="83"/>
    </row>
    <row r="95" spans="1:10" s="21" customFormat="1" ht="12.75" x14ac:dyDescent="0.2">
      <c r="A95" s="182" t="s">
        <v>60</v>
      </c>
      <c r="B95" s="183"/>
      <c r="C95" s="183"/>
      <c r="D95" s="184"/>
      <c r="E95" s="185"/>
      <c r="F95" s="186"/>
      <c r="G95" s="186"/>
      <c r="H95" s="184"/>
      <c r="I95" s="187">
        <f>SUM(I91:I93)</f>
        <v>44280</v>
      </c>
    </row>
    <row r="96" spans="1:10" ht="5.0999999999999996" customHeight="1" x14ac:dyDescent="0.2"/>
    <row r="97" spans="1:10" ht="12.75" x14ac:dyDescent="0.2">
      <c r="A97" s="188" t="s">
        <v>75</v>
      </c>
      <c r="F97" s="233">
        <f>I92/E35</f>
        <v>1.253E-3</v>
      </c>
    </row>
    <row r="99" spans="1:10" x14ac:dyDescent="0.2">
      <c r="A99" s="305" t="s">
        <v>110</v>
      </c>
      <c r="B99" s="306"/>
      <c r="C99" s="272"/>
    </row>
    <row r="100" spans="1:10" x14ac:dyDescent="0.2">
      <c r="A100" s="307" t="s">
        <v>126</v>
      </c>
      <c r="B100" s="306"/>
      <c r="C100" s="272"/>
    </row>
    <row r="101" spans="1:10" x14ac:dyDescent="0.2">
      <c r="A101" s="307" t="s">
        <v>128</v>
      </c>
      <c r="B101" s="306"/>
      <c r="C101" s="272"/>
    </row>
    <row r="102" spans="1:10" x14ac:dyDescent="0.2">
      <c r="A102" s="305" t="s">
        <v>127</v>
      </c>
      <c r="B102" s="306"/>
      <c r="C102" s="272"/>
    </row>
    <row r="103" spans="1:10" x14ac:dyDescent="0.2">
      <c r="A103" s="305" t="s">
        <v>129</v>
      </c>
      <c r="B103" s="306"/>
      <c r="C103" s="272"/>
    </row>
    <row r="104" spans="1:10" x14ac:dyDescent="0.2">
      <c r="A104" s="305" t="s">
        <v>130</v>
      </c>
      <c r="B104" s="306"/>
      <c r="C104" s="272"/>
    </row>
    <row r="105" spans="1:10" x14ac:dyDescent="0.2">
      <c r="A105" s="305"/>
      <c r="B105" s="306"/>
      <c r="C105" s="272"/>
    </row>
    <row r="106" spans="1:10" s="272" customFormat="1" ht="21" customHeight="1" x14ac:dyDescent="0.3">
      <c r="A106" s="308" t="s">
        <v>137</v>
      </c>
      <c r="B106" s="306"/>
      <c r="H106" s="273"/>
      <c r="I106" s="274"/>
      <c r="J106" s="274"/>
    </row>
    <row r="107" spans="1:10" s="272" customFormat="1" ht="21" customHeight="1" x14ac:dyDescent="0.3">
      <c r="A107" s="308" t="s">
        <v>138</v>
      </c>
      <c r="B107" s="306"/>
      <c r="H107" s="273"/>
      <c r="I107" s="274"/>
      <c r="J107" s="274"/>
    </row>
    <row r="108" spans="1:10" s="272" customFormat="1" ht="21" customHeight="1" x14ac:dyDescent="0.3">
      <c r="A108" s="308" t="s">
        <v>139</v>
      </c>
      <c r="B108" s="306"/>
      <c r="H108" s="273"/>
      <c r="I108" s="274"/>
      <c r="J108" s="274"/>
    </row>
    <row r="109" spans="1:10" s="272" customFormat="1" ht="21" customHeight="1" x14ac:dyDescent="0.3">
      <c r="A109" s="308" t="s">
        <v>140</v>
      </c>
      <c r="B109" s="306"/>
      <c r="H109" s="273"/>
      <c r="I109" s="274"/>
      <c r="J109" s="274"/>
    </row>
    <row r="110" spans="1:10" s="272" customFormat="1" ht="21" customHeight="1" x14ac:dyDescent="0.3">
      <c r="A110" s="308" t="s">
        <v>141</v>
      </c>
      <c r="B110" s="306"/>
      <c r="H110" s="273"/>
      <c r="I110" s="274"/>
      <c r="J110" s="274"/>
    </row>
  </sheetData>
  <sheetProtection algorithmName="SHA-512" hashValue="/GSIiVXzu2WCMCPe8evrxag8KfAfef8DLuYr4iw/FjV3gmP8g52q84KbnQt2I6qBsGi1mvl8M9kuvTZid51gfA==" saltValue="s9oTp3iG4dFIpMrh3mE9SQ==" spinCount="100000" sheet="1" objects="1" scenarios="1"/>
  <mergeCells count="4">
    <mergeCell ref="H44:I44"/>
    <mergeCell ref="H1:I1"/>
    <mergeCell ref="A59:E59"/>
    <mergeCell ref="A83:C83"/>
  </mergeCells>
  <dataValidations count="1">
    <dataValidation type="list" allowBlank="1" showInputMessage="1" showErrorMessage="1" sqref="A59:E59" xr:uid="{D16222F4-F98A-4CDE-81EA-A74B30555155}">
      <formula1>$A$99:$A$104</formula1>
    </dataValidation>
  </dataValidations>
  <pageMargins left="0.70866141732283472" right="0.70866141732283472" top="0.74803149606299213" bottom="0.74803149606299213" header="0.31496062992125984" footer="0.31496062992125984"/>
  <pageSetup paperSize="9" scale="72" fitToWidth="0" fitToHeight="0" pageOrder="overThenDown" orientation="portrait" r:id="rId1"/>
  <headerFooter>
    <oddHeader>&amp;L&amp;"Arial,Fett"&amp;K01+027Angebot &amp;A
&amp;"Arial,Standard"nach VM.BP+NH.2023&amp;R&amp;"Arial,Standard"&amp;K01+028Version 1
Stand: 15.09.2023</oddHeader>
    <oddFooter>&amp;L&amp;"Arial,Fett"&amp;K01+039LM.VM.2023 &amp;"Arial,Standard" |  Bauphysik &amp;A  |  Angebotsformular&amp;R&amp;"Arial,Standard"&amp;K01+039&amp;P/&amp;N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Scroll Bar 1">
              <controlPr locked="0" defaultSize="0" autoPict="0">
                <anchor moveWithCells="1">
                  <from>
                    <xdr:col>7</xdr:col>
                    <xdr:colOff>28575</xdr:colOff>
                    <xdr:row>44</xdr:row>
                    <xdr:rowOff>19050</xdr:rowOff>
                  </from>
                  <to>
                    <xdr:col>8</xdr:col>
                    <xdr:colOff>1019175</xdr:colOff>
                    <xdr:row>44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Scroll Bar 2">
              <controlPr defaultSize="0" autoPict="0">
                <anchor moveWithCells="1">
                  <from>
                    <xdr:col>7</xdr:col>
                    <xdr:colOff>28575</xdr:colOff>
                    <xdr:row>45</xdr:row>
                    <xdr:rowOff>19050</xdr:rowOff>
                  </from>
                  <to>
                    <xdr:col>8</xdr:col>
                    <xdr:colOff>1019175</xdr:colOff>
                    <xdr:row>45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Scroll Bar 3">
              <controlPr defaultSize="0" autoPict="0">
                <anchor moveWithCells="1">
                  <from>
                    <xdr:col>7</xdr:col>
                    <xdr:colOff>28575</xdr:colOff>
                    <xdr:row>46</xdr:row>
                    <xdr:rowOff>38100</xdr:rowOff>
                  </from>
                  <to>
                    <xdr:col>8</xdr:col>
                    <xdr:colOff>1019175</xdr:colOff>
                    <xdr:row>46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7" name="Scroll Bar 4">
              <controlPr locked="0" defaultSize="0" autoPict="0">
                <anchor moveWithCells="1">
                  <from>
                    <xdr:col>7</xdr:col>
                    <xdr:colOff>28575</xdr:colOff>
                    <xdr:row>47</xdr:row>
                    <xdr:rowOff>38100</xdr:rowOff>
                  </from>
                  <to>
                    <xdr:col>8</xdr:col>
                    <xdr:colOff>1019175</xdr:colOff>
                    <xdr:row>47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8" name="Scroll Bar 5">
              <controlPr locked="0" defaultSize="0" autoPict="0">
                <anchor moveWithCells="1">
                  <from>
                    <xdr:col>7</xdr:col>
                    <xdr:colOff>28575</xdr:colOff>
                    <xdr:row>49</xdr:row>
                    <xdr:rowOff>28575</xdr:rowOff>
                  </from>
                  <to>
                    <xdr:col>8</xdr:col>
                    <xdr:colOff>1028700</xdr:colOff>
                    <xdr:row>49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9" name="Scroll Bar 6">
              <controlPr locked="0" defaultSize="0" autoPict="0">
                <anchor moveWithCells="1">
                  <from>
                    <xdr:col>7</xdr:col>
                    <xdr:colOff>28575</xdr:colOff>
                    <xdr:row>50</xdr:row>
                    <xdr:rowOff>28575</xdr:rowOff>
                  </from>
                  <to>
                    <xdr:col>8</xdr:col>
                    <xdr:colOff>1028700</xdr:colOff>
                    <xdr:row>50</xdr:row>
                    <xdr:rowOff>133350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</vt:i4>
      </vt:variant>
      <vt:variant>
        <vt:lpstr>Benannte Bereiche</vt:lpstr>
      </vt:variant>
      <vt:variant>
        <vt:i4>33</vt:i4>
      </vt:variant>
    </vt:vector>
  </HeadingPairs>
  <TitlesOfParts>
    <vt:vector size="38" baseType="lpstr">
      <vt:lpstr>Summenblatt</vt:lpstr>
      <vt:lpstr>BPH-Thermisch</vt:lpstr>
      <vt:lpstr>BPH-Schallschutz</vt:lpstr>
      <vt:lpstr>BPH-Raumakustik</vt:lpstr>
      <vt:lpstr>Nachhaltigkeit</vt:lpstr>
      <vt:lpstr>_1</vt:lpstr>
      <vt:lpstr>_1_9</vt:lpstr>
      <vt:lpstr>_2</vt:lpstr>
      <vt:lpstr>_3</vt:lpstr>
      <vt:lpstr>_3.01</vt:lpstr>
      <vt:lpstr>_3.02</vt:lpstr>
      <vt:lpstr>_3.03</vt:lpstr>
      <vt:lpstr>_3.04</vt:lpstr>
      <vt:lpstr>_3.05</vt:lpstr>
      <vt:lpstr>_3.06</vt:lpstr>
      <vt:lpstr>_3.07</vt:lpstr>
      <vt:lpstr>_3.08</vt:lpstr>
      <vt:lpstr>_4</vt:lpstr>
      <vt:lpstr>_5</vt:lpstr>
      <vt:lpstr>_5.01</vt:lpstr>
      <vt:lpstr>_5.02</vt:lpstr>
      <vt:lpstr>_5.03</vt:lpstr>
      <vt:lpstr>_6</vt:lpstr>
      <vt:lpstr>_7</vt:lpstr>
      <vt:lpstr>_8</vt:lpstr>
      <vt:lpstr>_9</vt:lpstr>
      <vt:lpstr>_EK</vt:lpstr>
      <vt:lpstr>_mvB</vt:lpstr>
      <vt:lpstr>'BPH-Raumakustik'!Druckbereich</vt:lpstr>
      <vt:lpstr>'BPH-Schallschutz'!Druckbereich</vt:lpstr>
      <vt:lpstr>'BPH-Thermisch'!Druckbereich</vt:lpstr>
      <vt:lpstr>Nachhaltigkeit!Druckbereich</vt:lpstr>
      <vt:lpstr>Summenblatt!Druckbereich</vt:lpstr>
      <vt:lpstr>'BPH-Raumakustik'!Drucktitel</vt:lpstr>
      <vt:lpstr>'BPH-Schallschutz'!Drucktitel</vt:lpstr>
      <vt:lpstr>'BPH-Thermisch'!Drucktitel</vt:lpstr>
      <vt:lpstr>Nachhaltigkeit!Drucktitel</vt:lpstr>
      <vt:lpstr>Summenblatt!Drucktitel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Kienbeck Kerstin</dc:creator>
  <cp:lastModifiedBy>Kienbeck Kerstin</cp:lastModifiedBy>
  <cp:lastPrinted>2023-11-17T12:07:39Z</cp:lastPrinted>
  <dcterms:created xsi:type="dcterms:W3CDTF">2009-05-04T08:45:42Z</dcterms:created>
  <dcterms:modified xsi:type="dcterms:W3CDTF">2023-11-17T12:10:07Z</dcterms:modified>
</cp:coreProperties>
</file>