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4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5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8E4A144B-56C4-473C-BE47-BBD6E4EEFA9D}" xr6:coauthVersionLast="47" xr6:coauthVersionMax="47" xr10:uidLastSave="{00000000-0000-0000-0000-000000000000}"/>
  <bookViews>
    <workbookView xWindow="-28920" yWindow="-120" windowWidth="29040" windowHeight="15840" tabRatio="914" xr2:uid="{00000000-000D-0000-FFFF-FFFF00000000}"/>
  </bookViews>
  <sheets>
    <sheet name="Summenblatt" sheetId="80" r:id="rId1"/>
    <sheet name="TA_SanitärHeizungKlimaLüftung" sheetId="81" r:id="rId2"/>
    <sheet name="TA_Elektro" sheetId="93" r:id="rId3"/>
    <sheet name="TA_Fördertechnik" sheetId="94" r:id="rId4"/>
    <sheet name="TA_Nutzungsspezifische Anlagen" sheetId="95" r:id="rId5"/>
    <sheet name="TA_Gebäudeautomation" sheetId="96" r:id="rId6"/>
  </sheets>
  <definedNames>
    <definedName name="_1">Summenblatt!$I$7</definedName>
    <definedName name="_1_9" comment="KB 1-9 = Errichtungskosten">Summenblatt!$I$38</definedName>
    <definedName name="_2">Summenblatt!$I$9</definedName>
    <definedName name="_3">Summenblatt!$I$11</definedName>
    <definedName name="_3.01">Summenblatt!$I$12</definedName>
    <definedName name="_3.02">Summenblatt!$I$13</definedName>
    <definedName name="_3.03">Summenblatt!$I$14</definedName>
    <definedName name="_3.04">Summenblatt!$I$15</definedName>
    <definedName name="_3.05">Summenblatt!$I$16</definedName>
    <definedName name="_3.06">Summenblatt!$I$17</definedName>
    <definedName name="_3.07">Summenblatt!$I$18</definedName>
    <definedName name="_3.08">Summenblatt!$I$19</definedName>
    <definedName name="_4">Summenblatt!$I$21</definedName>
    <definedName name="_5">Summenblatt!$I$23</definedName>
    <definedName name="_5.01">Summenblatt!$I$24</definedName>
    <definedName name="_5.02">Summenblatt!$I$25</definedName>
    <definedName name="_5.03">Summenblatt!$I$26</definedName>
    <definedName name="_6">Summenblatt!$I$28</definedName>
    <definedName name="_7">Summenblatt!$I$30</definedName>
    <definedName name="_8">Summenblatt!$I$32</definedName>
    <definedName name="_9">Summenblatt!$I$34</definedName>
    <definedName name="_EK">Summenblatt!$I$38</definedName>
    <definedName name="_mvB">Summenblatt!$I$40</definedName>
    <definedName name="_xlnm.Print_Area" localSheetId="0">Summenblatt!$A$1:$I$71</definedName>
    <definedName name="_xlnm.Print_Area" localSheetId="2">TA_Elektro!$A$1:$I$99</definedName>
    <definedName name="_xlnm.Print_Area" localSheetId="3">TA_Fördertechnik!$A$1:$I$99</definedName>
    <definedName name="_xlnm.Print_Area" localSheetId="5">TA_Gebäudeautomation!$A$1:$I$99</definedName>
    <definedName name="_xlnm.Print_Area" localSheetId="4">'TA_Nutzungsspezifische Anlagen'!$A$1:$I$99</definedName>
    <definedName name="_xlnm.Print_Area" localSheetId="1">TA_SanitärHeizungKlimaLüftung!$A$1:$I$99</definedName>
    <definedName name="_xlnm.Print_Titles" localSheetId="0">Summenblatt!$A:$C,Summenblatt!$43:$43</definedName>
    <definedName name="_xlnm.Print_Titles" localSheetId="2">TA_Elektro!$A:$C,TA_Elektro!$3:$3</definedName>
    <definedName name="_xlnm.Print_Titles" localSheetId="3">TA_Fördertechnik!$A:$C,TA_Fördertechnik!$3:$3</definedName>
    <definedName name="_xlnm.Print_Titles" localSheetId="5">TA_Gebäudeautomation!$A:$C,TA_Gebäudeautomation!$3:$3</definedName>
    <definedName name="_xlnm.Print_Titles" localSheetId="4">'TA_Nutzungsspezifische Anlagen'!$A:$C,'TA_Nutzungsspezifische Anlagen'!$3:$3</definedName>
    <definedName name="_xlnm.Print_Titles" localSheetId="1">TA_SanitärHeizungKlimaLüftung!$A:$C,TA_SanitärHeizungKlimaLüftung!$3:$3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96" l="1"/>
  <c r="F64" i="95"/>
  <c r="F64" i="94"/>
  <c r="F64" i="93"/>
  <c r="F64" i="81"/>
  <c r="D85" i="96"/>
  <c r="D76" i="96"/>
  <c r="D85" i="95"/>
  <c r="D76" i="95"/>
  <c r="D85" i="94"/>
  <c r="D76" i="94"/>
  <c r="D85" i="93"/>
  <c r="D76" i="93"/>
  <c r="D85" i="81"/>
  <c r="D76" i="81"/>
  <c r="E34" i="81"/>
  <c r="I87" i="96"/>
  <c r="E76" i="96"/>
  <c r="E85" i="96" s="1"/>
  <c r="E51" i="96"/>
  <c r="E57" i="96" s="1"/>
  <c r="E34" i="96"/>
  <c r="I34" i="96" s="1"/>
  <c r="E30" i="96"/>
  <c r="I30" i="96" s="1"/>
  <c r="E28" i="96"/>
  <c r="I28" i="96" s="1"/>
  <c r="E26" i="96"/>
  <c r="I26" i="96" s="1"/>
  <c r="E24" i="96"/>
  <c r="E20" i="96"/>
  <c r="I20" i="96" s="1"/>
  <c r="E18" i="96"/>
  <c r="I18" i="96" s="1"/>
  <c r="E17" i="96"/>
  <c r="I17" i="96" s="1"/>
  <c r="E16" i="96"/>
  <c r="I16" i="96" s="1"/>
  <c r="E15" i="96"/>
  <c r="I15" i="96" s="1"/>
  <c r="E14" i="96"/>
  <c r="I14" i="96" s="1"/>
  <c r="E13" i="96"/>
  <c r="I13" i="96" s="1"/>
  <c r="E12" i="96"/>
  <c r="I12" i="96" s="1"/>
  <c r="E11" i="96"/>
  <c r="I11" i="96" s="1"/>
  <c r="E8" i="96"/>
  <c r="I8" i="96" s="1"/>
  <c r="E6" i="96"/>
  <c r="I6" i="96" s="1"/>
  <c r="I87" i="95"/>
  <c r="E76" i="95"/>
  <c r="E85" i="95" s="1"/>
  <c r="E51" i="95"/>
  <c r="E57" i="95" s="1"/>
  <c r="E34" i="95"/>
  <c r="I34" i="95" s="1"/>
  <c r="E30" i="95"/>
  <c r="I30" i="95" s="1"/>
  <c r="E28" i="95"/>
  <c r="I28" i="95" s="1"/>
  <c r="E26" i="95"/>
  <c r="I26" i="95" s="1"/>
  <c r="E24" i="95"/>
  <c r="E20" i="95"/>
  <c r="I20" i="95" s="1"/>
  <c r="E18" i="95"/>
  <c r="I18" i="95" s="1"/>
  <c r="E17" i="95"/>
  <c r="I17" i="95" s="1"/>
  <c r="E16" i="95"/>
  <c r="I16" i="95" s="1"/>
  <c r="E15" i="95"/>
  <c r="I15" i="95" s="1"/>
  <c r="E14" i="95"/>
  <c r="I14" i="95" s="1"/>
  <c r="E13" i="95"/>
  <c r="I13" i="95" s="1"/>
  <c r="I12" i="95"/>
  <c r="E12" i="95"/>
  <c r="E11" i="95"/>
  <c r="I11" i="95" s="1"/>
  <c r="E8" i="95"/>
  <c r="E6" i="95"/>
  <c r="I6" i="95" s="1"/>
  <c r="I87" i="94"/>
  <c r="E76" i="94"/>
  <c r="E85" i="94" s="1"/>
  <c r="E51" i="94"/>
  <c r="E57" i="94" s="1"/>
  <c r="E34" i="94"/>
  <c r="I34" i="94" s="1"/>
  <c r="E30" i="94"/>
  <c r="I30" i="94" s="1"/>
  <c r="E28" i="94"/>
  <c r="I28" i="94" s="1"/>
  <c r="E26" i="94"/>
  <c r="I26" i="94" s="1"/>
  <c r="E24" i="94"/>
  <c r="E20" i="94"/>
  <c r="I20" i="94" s="1"/>
  <c r="E18" i="94"/>
  <c r="I18" i="94" s="1"/>
  <c r="E17" i="94"/>
  <c r="I17" i="94" s="1"/>
  <c r="E16" i="94"/>
  <c r="I16" i="94" s="1"/>
  <c r="E15" i="94"/>
  <c r="I15" i="94" s="1"/>
  <c r="E14" i="94"/>
  <c r="I14" i="94" s="1"/>
  <c r="E13" i="94"/>
  <c r="I13" i="94" s="1"/>
  <c r="E12" i="94"/>
  <c r="I12" i="94" s="1"/>
  <c r="E11" i="94"/>
  <c r="I11" i="94" s="1"/>
  <c r="E8" i="94"/>
  <c r="E6" i="94"/>
  <c r="I6" i="94" s="1"/>
  <c r="I87" i="93"/>
  <c r="E76" i="93"/>
  <c r="E85" i="93" s="1"/>
  <c r="E51" i="93"/>
  <c r="E57" i="93" s="1"/>
  <c r="E34" i="93"/>
  <c r="I34" i="93" s="1"/>
  <c r="E30" i="93"/>
  <c r="I30" i="93" s="1"/>
  <c r="E28" i="93"/>
  <c r="I28" i="93" s="1"/>
  <c r="E26" i="93"/>
  <c r="E24" i="93"/>
  <c r="I24" i="93" s="1"/>
  <c r="E20" i="93"/>
  <c r="I20" i="93" s="1"/>
  <c r="E18" i="93"/>
  <c r="I18" i="93" s="1"/>
  <c r="E17" i="93"/>
  <c r="I17" i="93" s="1"/>
  <c r="E16" i="93"/>
  <c r="I16" i="93" s="1"/>
  <c r="E15" i="93"/>
  <c r="I15" i="93" s="1"/>
  <c r="E14" i="93"/>
  <c r="I14" i="93" s="1"/>
  <c r="E13" i="93"/>
  <c r="I13" i="93" s="1"/>
  <c r="E12" i="93"/>
  <c r="I12" i="93" s="1"/>
  <c r="E11" i="93"/>
  <c r="I11" i="93" s="1"/>
  <c r="E8" i="93"/>
  <c r="I8" i="93" s="1"/>
  <c r="E6" i="93"/>
  <c r="I6" i="93" s="1"/>
  <c r="I24" i="96" l="1"/>
  <c r="I8" i="95"/>
  <c r="I24" i="95"/>
  <c r="I8" i="94"/>
  <c r="I24" i="94"/>
  <c r="I26" i="93"/>
  <c r="I87" i="81" l="1"/>
  <c r="E76" i="81"/>
  <c r="E85" i="81" s="1"/>
  <c r="E51" i="81"/>
  <c r="E57" i="81" s="1"/>
  <c r="E30" i="81"/>
  <c r="I30" i="81" s="1"/>
  <c r="E28" i="81"/>
  <c r="I28" i="81" s="1"/>
  <c r="E26" i="81"/>
  <c r="I26" i="81" s="1"/>
  <c r="E24" i="81"/>
  <c r="I24" i="81" s="1"/>
  <c r="E20" i="81"/>
  <c r="I20" i="81" s="1"/>
  <c r="E18" i="81"/>
  <c r="I18" i="81" s="1"/>
  <c r="E17" i="81"/>
  <c r="I17" i="81" s="1"/>
  <c r="E16" i="81"/>
  <c r="I16" i="81" s="1"/>
  <c r="E15" i="81"/>
  <c r="I15" i="81" s="1"/>
  <c r="E14" i="81"/>
  <c r="I14" i="81" s="1"/>
  <c r="E13" i="81"/>
  <c r="I13" i="81" s="1"/>
  <c r="E12" i="81"/>
  <c r="I12" i="81" s="1"/>
  <c r="E11" i="81"/>
  <c r="I11" i="81" s="1"/>
  <c r="E8" i="81"/>
  <c r="I8" i="81" s="1"/>
  <c r="I23" i="80"/>
  <c r="I11" i="80"/>
  <c r="E22" i="93" l="1"/>
  <c r="I22" i="93" s="1"/>
  <c r="I36" i="93" s="1"/>
  <c r="E22" i="95"/>
  <c r="I22" i="95" s="1"/>
  <c r="I36" i="95" s="1"/>
  <c r="E22" i="96"/>
  <c r="I22" i="96" s="1"/>
  <c r="I36" i="96" s="1"/>
  <c r="E22" i="94"/>
  <c r="I22" i="94" s="1"/>
  <c r="I36" i="94" s="1"/>
  <c r="E10" i="95"/>
  <c r="E10" i="93"/>
  <c r="I36" i="80"/>
  <c r="E10" i="94"/>
  <c r="E10" i="96"/>
  <c r="I34" i="81"/>
  <c r="E10" i="81"/>
  <c r="E22" i="81"/>
  <c r="I38" i="80"/>
  <c r="I6" i="81"/>
  <c r="F57" i="94" l="1"/>
  <c r="E55" i="94"/>
  <c r="E55" i="96"/>
  <c r="F57" i="96"/>
  <c r="F57" i="95"/>
  <c r="E55" i="95"/>
  <c r="F57" i="93"/>
  <c r="E55" i="93"/>
  <c r="E32" i="94"/>
  <c r="E32" i="96"/>
  <c r="E32" i="93"/>
  <c r="E32" i="95"/>
  <c r="I22" i="81"/>
  <c r="H34" i="80"/>
  <c r="H11" i="80"/>
  <c r="H28" i="80"/>
  <c r="H30" i="80"/>
  <c r="H9" i="80"/>
  <c r="H21" i="80"/>
  <c r="H32" i="80"/>
  <c r="E32" i="81"/>
  <c r="H7" i="80"/>
  <c r="H23" i="80"/>
  <c r="E59" i="93" l="1"/>
  <c r="F61" i="93"/>
  <c r="E61" i="93"/>
  <c r="F60" i="93"/>
  <c r="E60" i="93"/>
  <c r="E61" i="95"/>
  <c r="E60" i="95"/>
  <c r="F60" i="95"/>
  <c r="E59" i="95"/>
  <c r="F61" i="95"/>
  <c r="E61" i="96"/>
  <c r="E60" i="96"/>
  <c r="E59" i="96"/>
  <c r="F61" i="96"/>
  <c r="F60" i="96"/>
  <c r="E60" i="94"/>
  <c r="E61" i="94"/>
  <c r="F61" i="94"/>
  <c r="E59" i="94"/>
  <c r="F60" i="94"/>
  <c r="D30" i="95"/>
  <c r="D24" i="95"/>
  <c r="D10" i="95"/>
  <c r="D20" i="95"/>
  <c r="D26" i="95"/>
  <c r="D8" i="95"/>
  <c r="D6" i="95"/>
  <c r="D28" i="95"/>
  <c r="D22" i="95"/>
  <c r="D10" i="93"/>
  <c r="D22" i="93"/>
  <c r="D30" i="93"/>
  <c r="D28" i="93"/>
  <c r="D6" i="93"/>
  <c r="D20" i="93"/>
  <c r="D26" i="93"/>
  <c r="D8" i="93"/>
  <c r="D24" i="93"/>
  <c r="D22" i="96"/>
  <c r="D8" i="96"/>
  <c r="D26" i="96"/>
  <c r="D28" i="96"/>
  <c r="D20" i="96"/>
  <c r="D6" i="96"/>
  <c r="D10" i="96"/>
  <c r="D24" i="96"/>
  <c r="D30" i="96"/>
  <c r="D30" i="94"/>
  <c r="D26" i="94"/>
  <c r="D6" i="94"/>
  <c r="D20" i="94"/>
  <c r="D28" i="94"/>
  <c r="D8" i="94"/>
  <c r="D24" i="94"/>
  <c r="D22" i="94"/>
  <c r="D10" i="94"/>
  <c r="I36" i="81"/>
  <c r="F57" i="81" s="1"/>
  <c r="H36" i="80"/>
  <c r="D24" i="81"/>
  <c r="D10" i="81"/>
  <c r="D8" i="81"/>
  <c r="D30" i="81"/>
  <c r="D26" i="81"/>
  <c r="D28" i="81"/>
  <c r="D6" i="81"/>
  <c r="D20" i="81"/>
  <c r="D22" i="81"/>
  <c r="H38" i="80"/>
  <c r="F83" i="96" l="1"/>
  <c r="F69" i="96"/>
  <c r="F81" i="96"/>
  <c r="F67" i="96"/>
  <c r="F79" i="96"/>
  <c r="F72" i="96"/>
  <c r="F77" i="96"/>
  <c r="F74" i="96"/>
  <c r="F71" i="96"/>
  <c r="F70" i="96"/>
  <c r="F75" i="96"/>
  <c r="F68" i="96"/>
  <c r="F66" i="96"/>
  <c r="F84" i="96"/>
  <c r="F82" i="96"/>
  <c r="F80" i="96"/>
  <c r="F78" i="96"/>
  <c r="F73" i="96"/>
  <c r="F73" i="95"/>
  <c r="F69" i="95"/>
  <c r="F77" i="95"/>
  <c r="F71" i="95"/>
  <c r="F81" i="95"/>
  <c r="F83" i="95"/>
  <c r="F67" i="95"/>
  <c r="F79" i="95"/>
  <c r="F74" i="95"/>
  <c r="F82" i="95"/>
  <c r="F72" i="95"/>
  <c r="F70" i="95"/>
  <c r="F75" i="95"/>
  <c r="F68" i="95"/>
  <c r="F66" i="95"/>
  <c r="F84" i="95"/>
  <c r="F78" i="95"/>
  <c r="F80" i="95"/>
  <c r="F78" i="94"/>
  <c r="F83" i="94"/>
  <c r="F81" i="94"/>
  <c r="F77" i="94"/>
  <c r="F84" i="94"/>
  <c r="F75" i="94"/>
  <c r="F73" i="94"/>
  <c r="F71" i="94"/>
  <c r="F69" i="94"/>
  <c r="F80" i="94"/>
  <c r="F67" i="94"/>
  <c r="F66" i="94"/>
  <c r="F79" i="94"/>
  <c r="F74" i="94"/>
  <c r="F82" i="94"/>
  <c r="F72" i="94"/>
  <c r="F70" i="94"/>
  <c r="F68" i="94"/>
  <c r="F80" i="93"/>
  <c r="F68" i="93"/>
  <c r="F78" i="93"/>
  <c r="F69" i="93"/>
  <c r="F75" i="93"/>
  <c r="F82" i="93"/>
  <c r="F71" i="93"/>
  <c r="F66" i="93"/>
  <c r="F72" i="93"/>
  <c r="F77" i="93"/>
  <c r="F70" i="93"/>
  <c r="F74" i="93"/>
  <c r="F67" i="93"/>
  <c r="F73" i="93"/>
  <c r="F79" i="93"/>
  <c r="F83" i="93"/>
  <c r="F84" i="93"/>
  <c r="F81" i="93"/>
  <c r="D32" i="93"/>
  <c r="D32" i="96"/>
  <c r="D32" i="95"/>
  <c r="D32" i="94"/>
  <c r="E55" i="81"/>
  <c r="D32" i="81"/>
  <c r="F76" i="93" l="1"/>
  <c r="F85" i="93" s="1"/>
  <c r="I85" i="93" s="1"/>
  <c r="I89" i="93" s="1"/>
  <c r="F76" i="96"/>
  <c r="F85" i="96" s="1"/>
  <c r="I85" i="96" s="1"/>
  <c r="I89" i="96" s="1"/>
  <c r="F76" i="94"/>
  <c r="F85" i="94" s="1"/>
  <c r="I85" i="94" s="1"/>
  <c r="I89" i="94" s="1"/>
  <c r="F76" i="95"/>
  <c r="F85" i="95" s="1"/>
  <c r="I85" i="95" s="1"/>
  <c r="I89" i="95" s="1"/>
  <c r="F61" i="81"/>
  <c r="F60" i="81"/>
  <c r="E61" i="81"/>
  <c r="E60" i="81"/>
  <c r="E59" i="81"/>
  <c r="I91" i="95" l="1"/>
  <c r="I94" i="95" s="1"/>
  <c r="I95" i="95" s="1"/>
  <c r="I97" i="95" s="1"/>
  <c r="I55" i="80"/>
  <c r="I53" i="80"/>
  <c r="I91" i="94"/>
  <c r="I94" i="94" s="1"/>
  <c r="I57" i="80"/>
  <c r="I91" i="96"/>
  <c r="I94" i="96" s="1"/>
  <c r="I91" i="93"/>
  <c r="I94" i="93" s="1"/>
  <c r="I51" i="80"/>
  <c r="F80" i="81"/>
  <c r="F81" i="81"/>
  <c r="F72" i="81"/>
  <c r="F71" i="81"/>
  <c r="F78" i="81"/>
  <c r="F79" i="81"/>
  <c r="F69" i="81"/>
  <c r="F68" i="81"/>
  <c r="F84" i="81"/>
  <c r="F77" i="81"/>
  <c r="F70" i="81"/>
  <c r="F82" i="81"/>
  <c r="F83" i="81"/>
  <c r="F75" i="81"/>
  <c r="F73" i="81"/>
  <c r="F67" i="81"/>
  <c r="F66" i="81"/>
  <c r="F74" i="81"/>
  <c r="E99" i="95" l="1"/>
  <c r="F55" i="80"/>
  <c r="E55" i="80"/>
  <c r="I95" i="93"/>
  <c r="I97" i="93" s="1"/>
  <c r="E99" i="93"/>
  <c r="I95" i="96"/>
  <c r="I97" i="96" s="1"/>
  <c r="E99" i="96"/>
  <c r="I95" i="94"/>
  <c r="I97" i="94" s="1"/>
  <c r="E99" i="94"/>
  <c r="F76" i="81"/>
  <c r="F85" i="81" s="1"/>
  <c r="F51" i="80"/>
  <c r="E51" i="80"/>
  <c r="I85" i="81" l="1"/>
  <c r="I89" i="81" s="1"/>
  <c r="I91" i="81" s="1"/>
  <c r="I62" i="80" s="1"/>
  <c r="I49" i="80" l="1"/>
  <c r="E49" i="80" s="1"/>
  <c r="F57" i="80"/>
  <c r="E57" i="80"/>
  <c r="F53" i="80"/>
  <c r="E53" i="80"/>
  <c r="I94" i="81"/>
  <c r="F49" i="80" l="1"/>
  <c r="I60" i="80"/>
  <c r="I65" i="80" s="1"/>
  <c r="I95" i="81"/>
  <c r="I97" i="81" s="1"/>
  <c r="E99" i="81"/>
  <c r="I67" i="80" l="1"/>
  <c r="I69" i="80" s="1"/>
  <c r="E71" i="80"/>
</calcChain>
</file>

<file path=xl/sharedStrings.xml><?xml version="1.0" encoding="utf-8"?>
<sst xmlns="http://schemas.openxmlformats.org/spreadsheetml/2006/main" count="514" uniqueCount="109">
  <si>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</si>
  <si>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</si>
  <si>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</si>
  <si>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</si>
  <si>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</si>
  <si>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</si>
  <si>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</si>
  <si>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</si>
  <si>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</si>
  <si>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</si>
  <si>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</si>
  <si>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</si>
  <si>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</si>
  <si>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</si>
  <si>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</si>
  <si>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</si>
  <si>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</si>
  <si>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</si>
  <si>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</si>
  <si>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</si>
  <si>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</si>
  <si>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</si>
  <si>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</si>
  <si>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</si>
  <si>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</si>
  <si>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</si>
  <si>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</si>
  <si>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</si>
  <si>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</si>
  <si>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</si>
  <si>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</si>
  <si>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</si>
  <si>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</si>
  <si>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LPH 2 Vorentwurfsplanung</t>
  </si>
  <si>
    <t>LPH 3 Entwurfsplanung</t>
  </si>
  <si>
    <t>LPH 4 Einreichplanung</t>
  </si>
  <si>
    <t>LPH 5 Ausführungsplanung</t>
  </si>
  <si>
    <t>LPH 6 Ausschreibung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</si>
  <si>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</si>
  <si>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</si>
  <si>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</si>
  <si>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</si>
  <si>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</si>
  <si>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</si>
  <si>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</si>
  <si>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</si>
  <si>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</si>
  <si>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LPH 1 Grundlagenermittlung</t>
  </si>
  <si>
    <t>LPH 7 Begleitung der Bauausführung</t>
  </si>
  <si>
    <t>LPH 9 Objektbetreuung</t>
  </si>
  <si>
    <t>6 bis 42</t>
  </si>
  <si>
    <t xml:space="preserve">          Mitwirkung an der Vergabe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</si>
  <si>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+ 0,73]</t>
    </r>
  </si>
  <si>
    <t>LPH 8 Fachbauaufsicht + Dokumentation</t>
  </si>
  <si>
    <t xml:space="preserve">%-Satz für TA </t>
  </si>
  <si>
    <t>ERK %</t>
  </si>
  <si>
    <t>Anforderungsmerkmale/Bewertungspunkte</t>
  </si>
  <si>
    <r>
      <t>&lt;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202,00 x (BMGL)</t>
    </r>
    <r>
      <rPr>
        <vertAlign val="superscript"/>
        <sz val="10"/>
        <rFont val="Arial"/>
        <family val="2"/>
      </rPr>
      <t>(-0,2248)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</si>
  <si>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37,8 x (BMGL)</t>
    </r>
    <r>
      <rPr>
        <vertAlign val="superscript"/>
        <sz val="10"/>
        <rFont val="Arial"/>
        <family val="2"/>
      </rPr>
      <t>(-0,109)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</si>
  <si>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 xml:space="preserve">               </t>
  </si>
  <si>
    <t>Ermittlung Bemessungsgrundlage (BMGL)</t>
  </si>
  <si>
    <t>Prozentanteil an Errichtungskosten (netto, inkl. NK)</t>
  </si>
  <si>
    <t>Kosten nach ÖNORM B1801-1</t>
  </si>
  <si>
    <r>
      <t xml:space="preserve">PLANUNGSLEISTUNGEN </t>
    </r>
    <r>
      <rPr>
        <sz val="9"/>
        <color indexed="8"/>
        <rFont val="Arial"/>
        <family val="2"/>
      </rPr>
      <t>(ohne PL, PS, BK)</t>
    </r>
  </si>
  <si>
    <t>%-Anteil ERK</t>
  </si>
  <si>
    <t>Prozentanteil an Errichtungskosten</t>
  </si>
  <si>
    <r>
      <t>PLANUNGSLEISTUNGEN</t>
    </r>
    <r>
      <rPr>
        <sz val="10"/>
        <color indexed="8"/>
        <rFont val="Arial"/>
        <family val="2"/>
      </rPr>
      <t xml:space="preserve"> (GP)</t>
    </r>
  </si>
  <si>
    <t>Stundenpool (optionale Leistungen)</t>
  </si>
  <si>
    <t>Umbauzuschlag nach TA.11</t>
  </si>
  <si>
    <t>Summe Teil Technische Ausrüstung ohne Nebenkosten</t>
  </si>
  <si>
    <t>Summe Teil Technische Ausrüstung netto inkl. NK</t>
  </si>
  <si>
    <t xml:space="preserve">Summe Teil Technische Ausrüstung brutto </t>
  </si>
  <si>
    <t>Einbaumöbel</t>
  </si>
  <si>
    <t>Serienmöbel</t>
  </si>
  <si>
    <t>Zusammenstellung der Planungsleistungen</t>
  </si>
  <si>
    <t>%-Anteil BWK</t>
  </si>
  <si>
    <t xml:space="preserve">Summe Generalplaner  gesamt (GP 2b + PL + ÖBA) brutto </t>
  </si>
  <si>
    <t>Summe technische Ausrüstung gesamt ohne Nebenkosten</t>
  </si>
  <si>
    <t>Summe technische Ausrüstung gesamt inkl Nebenkosten</t>
  </si>
  <si>
    <r>
      <t>Vergütung VTA = BMGL x 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</si>
  <si>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LM.VM</t>
  </si>
  <si>
    <t>Technische Ausrüstung nach VM.TA.2023 - HKLS</t>
  </si>
  <si>
    <t>Technische Ausrüstung nach VM.TA.2023 - Elektro</t>
  </si>
  <si>
    <t>Technische Ausrüstung nach VM.TA.2023</t>
  </si>
  <si>
    <t>NEBENKOSTEN</t>
  </si>
  <si>
    <t>mitzuverarbeitende Bausubstanz (Umbau)</t>
  </si>
  <si>
    <t>über 100 Mio €</t>
  </si>
  <si>
    <t>mehr als 20 Nutzer, Planungsbeteiligte</t>
  </si>
  <si>
    <t>starke terminliche Verdichtung</t>
  </si>
  <si>
    <r>
      <rPr>
        <b/>
        <sz val="8"/>
        <color rgb="FF000000"/>
        <rFont val="Arial"/>
        <family val="2"/>
      </rPr>
      <t xml:space="preserve">Technische Ausrüstung  </t>
    </r>
    <r>
      <rPr>
        <sz val="8"/>
        <color indexed="8"/>
        <rFont val="Arial"/>
        <family val="2"/>
      </rPr>
      <t xml:space="preserve">                           
nach VM.TA.2023</t>
    </r>
  </si>
  <si>
    <t>BAUWERKSKOSTEN (KGR 2 - 4)</t>
  </si>
  <si>
    <t>ERRICHTUNGSKOSTEN (KGR 1 - 9)</t>
  </si>
  <si>
    <t>gering        durchschnitt.          hoch</t>
  </si>
  <si>
    <t>Zusatz Nachweise Nachhaltigkeit</t>
  </si>
  <si>
    <t>Zusatz vertiefte Kostenschätzung (vKS)</t>
  </si>
  <si>
    <t>Zusatz viertiefte Kostenberechnung (vKB)</t>
  </si>
  <si>
    <t>Zusatz Bearbeitung von Wandabwicklungen in LPH3</t>
  </si>
  <si>
    <t>Zusatz Fortschreibung von Wandabwicklungen in LPH5</t>
  </si>
  <si>
    <t>Zusatz Bearbeitung TGA-Teil eines Raumbuchs</t>
  </si>
  <si>
    <t>0 bis 3</t>
  </si>
  <si>
    <t>Technische Ausrüstung nach VM.TA.2023 - Fördertechnik</t>
  </si>
  <si>
    <t>Technische Ausrüstung nach VM.TA.2023 - Gebäudeautomation</t>
  </si>
  <si>
    <t>Einreichung durch ausführende Firma</t>
  </si>
  <si>
    <t>Technische Ausrüstung nach VM.TA.2023 - nutzerspez. Anlagen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</si>
  <si>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</si>
  <si>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t xml:space="preserve"> Planung Schacht und Kabine             </t>
  </si>
  <si>
    <r>
      <rPr>
        <b/>
        <sz val="8"/>
        <color rgb="FF000000"/>
        <rFont val="Arial"/>
        <family val="2"/>
      </rPr>
      <t xml:space="preserve">Technische Ausrüstung
</t>
    </r>
    <r>
      <rPr>
        <sz val="8"/>
        <color indexed="8"/>
        <rFont val="Arial"/>
        <family val="2"/>
      </rPr>
      <t>nach VM.TA.2023</t>
    </r>
  </si>
  <si>
    <t>Bauteilkatalog zusätzlich zum oa. Raumbuch</t>
  </si>
  <si>
    <t>Lean Construction Management in LPH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</si>
</sst>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0.0%"/>
    <numFmt numFmtId="172" formatCode="0.0"/>
    <numFmt numFmtId="173" formatCode="#,##0\ &quot;h&quot;"/>
    <numFmt numFmtId="174" formatCode="#,##0.00\ &quot;€/h&quot;"/>
    <numFmt numFmtId="175" formatCode="0.0000%"/>
  </numFmts>
  <fonts count="5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i/>
      <sz val="10"/>
      <color indexed="8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1" tint="0.499984740745262"/>
      <name val="Arial"/>
      <family val="2"/>
    </font>
    <font>
      <sz val="8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b/>
      <sz val="8"/>
      <color rgb="FF000000"/>
      <name val="Arial"/>
      <family val="2"/>
    </font>
    <font>
      <sz val="12"/>
      <name val="Arial"/>
      <family val="2"/>
    </font>
    <font>
      <sz val="9"/>
      <color theme="0" tint="-0.499984740745262"/>
      <name val="Arial"/>
      <family val="2"/>
    </font>
    <font>
      <sz val="7.5"/>
      <color rgb="FFFF0000"/>
      <name val="Arial"/>
      <family val="2"/>
    </font>
    <font>
      <sz val="10"/>
      <color rgb="FF0070C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42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7" applyNumberFormat="0" applyAlignment="0" applyProtection="0"/>
    <xf numFmtId="0" fontId="28" fillId="8" borderId="8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9" fillId="9" borderId="8" applyNumberForma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32" fillId="11" borderId="0" applyNumberFormat="0" applyBorder="0" applyAlignment="0" applyProtection="0"/>
    <xf numFmtId="0" fontId="12" fillId="0" borderId="0" applyFont="0" applyFill="0" applyBorder="0" applyAlignment="0" applyProtection="0"/>
    <xf numFmtId="0" fontId="33" fillId="12" borderId="0" applyNumberFormat="0" applyBorder="0" applyAlignment="0" applyProtection="0"/>
    <xf numFmtId="0" fontId="25" fillId="13" borderId="10" applyNumberFormat="0" applyFont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14" borderId="0" applyNumberFormat="0" applyBorder="0" applyAlignment="0" applyProtection="0"/>
    <xf numFmtId="0" fontId="25" fillId="0" borderId="0"/>
    <xf numFmtId="0" fontId="2" fillId="0" borderId="0"/>
    <xf numFmtId="0" fontId="4" fillId="0" borderId="0"/>
    <xf numFmtId="0" fontId="25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15" borderId="15" applyNumberFormat="0" applyAlignment="0" applyProtection="0"/>
  </cellStyleXfs>
  <cellXfs count="276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1" fontId="5" fillId="0" borderId="0" xfId="33" applyNumberFormat="1" applyFont="1" applyAlignment="1">
      <alignment horizontal="left"/>
    </xf>
    <xf numFmtId="164" fontId="5" fillId="0" borderId="0" xfId="33" applyNumberFormat="1" applyFont="1" applyAlignment="1">
      <alignment horizontal="left"/>
    </xf>
    <xf numFmtId="165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3" fillId="0" borderId="0" xfId="33" applyFont="1" applyAlignment="1">
      <alignment vertical="center"/>
    </xf>
    <xf numFmtId="0" fontId="14" fillId="0" borderId="0" xfId="33" applyFont="1" applyAlignment="1">
      <alignment vertical="center"/>
    </xf>
    <xf numFmtId="10" fontId="14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15" fillId="0" borderId="0" xfId="33" applyFont="1"/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168" fontId="9" fillId="0" borderId="0" xfId="30" applyNumberFormat="1" applyFont="1" applyAlignment="1">
      <alignment vertical="center"/>
    </xf>
    <xf numFmtId="3" fontId="14" fillId="0" borderId="0" xfId="33" applyNumberFormat="1" applyFont="1" applyAlignment="1">
      <alignment horizontal="center" vertical="center"/>
    </xf>
    <xf numFmtId="10" fontId="5" fillId="0" borderId="0" xfId="33" applyNumberFormat="1" applyFont="1"/>
    <xf numFmtId="0" fontId="8" fillId="0" borderId="0" xfId="33" applyFont="1"/>
    <xf numFmtId="3" fontId="8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3" fillId="0" borderId="0" xfId="12" applyFont="1" applyFill="1" applyBorder="1" applyAlignment="1">
      <alignment horizontal="center" vertical="center"/>
    </xf>
    <xf numFmtId="10" fontId="16" fillId="0" borderId="0" xfId="33" applyNumberFormat="1" applyFont="1" applyAlignment="1">
      <alignment horizontal="left" wrapText="1"/>
    </xf>
    <xf numFmtId="3" fontId="8" fillId="0" borderId="0" xfId="33" applyNumberFormat="1" applyFont="1" applyAlignment="1">
      <alignment horizontal="right"/>
    </xf>
    <xf numFmtId="3" fontId="15" fillId="0" borderId="0" xfId="33" applyNumberFormat="1" applyFont="1" applyAlignment="1">
      <alignment horizontal="right"/>
    </xf>
    <xf numFmtId="168" fontId="2" fillId="0" borderId="0" xfId="30" applyNumberFormat="1"/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4" xfId="30" applyNumberFormat="1" applyFont="1" applyBorder="1"/>
    <xf numFmtId="167" fontId="7" fillId="0" borderId="5" xfId="30" applyNumberFormat="1" applyFont="1" applyBorder="1"/>
    <xf numFmtId="0" fontId="2" fillId="0" borderId="5" xfId="30" applyBorder="1"/>
    <xf numFmtId="0" fontId="17" fillId="16" borderId="0" xfId="33" applyFont="1" applyFill="1"/>
    <xf numFmtId="9" fontId="2" fillId="0" borderId="4" xfId="30" applyNumberFormat="1" applyBorder="1" applyAlignment="1">
      <alignment horizontal="center"/>
    </xf>
    <xf numFmtId="9" fontId="2" fillId="0" borderId="5" xfId="30" applyNumberFormat="1" applyBorder="1" applyAlignment="1">
      <alignment horizontal="center"/>
    </xf>
    <xf numFmtId="0" fontId="1" fillId="16" borderId="0" xfId="33" applyFont="1" applyFill="1" applyAlignment="1">
      <alignment horizontal="left"/>
    </xf>
    <xf numFmtId="3" fontId="13" fillId="0" borderId="0" xfId="33" applyNumberFormat="1" applyFont="1" applyAlignment="1">
      <alignment vertical="center"/>
    </xf>
    <xf numFmtId="10" fontId="14" fillId="0" borderId="0" xfId="33" applyNumberFormat="1" applyFont="1" applyAlignment="1">
      <alignment horizontal="right" vertical="center"/>
    </xf>
    <xf numFmtId="9" fontId="1" fillId="16" borderId="0" xfId="33" applyNumberFormat="1" applyFont="1" applyFill="1"/>
    <xf numFmtId="0" fontId="13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9" fillId="16" borderId="16" xfId="33" applyNumberFormat="1" applyFont="1" applyFill="1" applyBorder="1" applyAlignment="1">
      <alignment horizontal="left" vertical="center"/>
    </xf>
    <xf numFmtId="0" fontId="9" fillId="16" borderId="16" xfId="33" applyFont="1" applyFill="1" applyBorder="1" applyAlignment="1">
      <alignment vertical="center"/>
    </xf>
    <xf numFmtId="1" fontId="5" fillId="0" borderId="17" xfId="33" applyNumberFormat="1" applyFont="1" applyBorder="1" applyAlignment="1">
      <alignment horizontal="left"/>
    </xf>
    <xf numFmtId="164" fontId="5" fillId="0" borderId="17" xfId="33" applyNumberFormat="1" applyFont="1" applyBorder="1" applyAlignment="1">
      <alignment horizontal="left"/>
    </xf>
    <xf numFmtId="0" fontId="5" fillId="0" borderId="17" xfId="33" applyFont="1" applyBorder="1"/>
    <xf numFmtId="1" fontId="5" fillId="0" borderId="18" xfId="33" applyNumberFormat="1" applyFont="1" applyBorder="1" applyAlignment="1">
      <alignment horizontal="left"/>
    </xf>
    <xf numFmtId="164" fontId="5" fillId="0" borderId="18" xfId="33" applyNumberFormat="1" applyFont="1" applyBorder="1" applyAlignment="1">
      <alignment horizontal="left"/>
    </xf>
    <xf numFmtId="0" fontId="5" fillId="0" borderId="18" xfId="33" applyFont="1" applyBorder="1"/>
    <xf numFmtId="3" fontId="14" fillId="0" borderId="0" xfId="33" applyNumberFormat="1" applyFont="1" applyAlignment="1">
      <alignment horizontal="right" vertical="center"/>
    </xf>
    <xf numFmtId="42" fontId="1" fillId="16" borderId="0" xfId="33" applyNumberFormat="1" applyFont="1" applyFill="1" applyAlignment="1">
      <alignment horizontal="right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18" fillId="16" borderId="0" xfId="30" applyNumberFormat="1" applyFont="1" applyFill="1"/>
    <xf numFmtId="42" fontId="1" fillId="16" borderId="0" xfId="30" applyNumberFormat="1" applyFont="1" applyFill="1"/>
    <xf numFmtId="0" fontId="9" fillId="0" borderId="0" xfId="33" applyFont="1" applyAlignment="1">
      <alignment horizontal="left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42" fontId="8" fillId="0" borderId="0" xfId="33" applyNumberFormat="1" applyFont="1"/>
    <xf numFmtId="42" fontId="8" fillId="0" borderId="0" xfId="33" applyNumberFormat="1" applyFont="1" applyAlignment="1">
      <alignment horizontal="right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0" fontId="8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2" xfId="31" applyNumberFormat="1" applyFont="1" applyBorder="1" applyAlignment="1">
      <alignment horizontal="right" vertical="center"/>
    </xf>
    <xf numFmtId="166" fontId="1" fillId="0" borderId="0" xfId="31" applyNumberFormat="1" applyFont="1" applyAlignment="1">
      <alignment horizontal="right" vertical="center"/>
    </xf>
    <xf numFmtId="0" fontId="42" fillId="0" borderId="0" xfId="31" applyFont="1" applyAlignment="1">
      <alignment vertical="center"/>
    </xf>
    <xf numFmtId="10" fontId="2" fillId="0" borderId="0" xfId="31" applyNumberFormat="1" applyAlignment="1">
      <alignment horizontal="right" vertical="center"/>
    </xf>
    <xf numFmtId="168" fontId="2" fillId="0" borderId="0" xfId="31" applyNumberFormat="1" applyAlignment="1">
      <alignment vertical="center"/>
    </xf>
    <xf numFmtId="168" fontId="2" fillId="0" borderId="2" xfId="31" applyNumberFormat="1" applyBorder="1" applyAlignment="1">
      <alignment vertical="center"/>
    </xf>
    <xf numFmtId="168" fontId="8" fillId="0" borderId="0" xfId="31" applyNumberFormat="1" applyFont="1" applyAlignment="1">
      <alignment vertical="center"/>
    </xf>
    <xf numFmtId="1" fontId="3" fillId="16" borderId="0" xfId="12" applyNumberFormat="1" applyFont="1" applyFill="1" applyBorder="1" applyAlignment="1" applyProtection="1">
      <alignment horizontal="center" vertical="center"/>
    </xf>
    <xf numFmtId="171" fontId="5" fillId="0" borderId="16" xfId="33" applyNumberFormat="1" applyFont="1" applyBorder="1" applyAlignment="1">
      <alignment horizontal="right" vertical="center"/>
    </xf>
    <xf numFmtId="171" fontId="5" fillId="0" borderId="0" xfId="33" applyNumberFormat="1" applyFont="1" applyAlignment="1">
      <alignment horizontal="right"/>
    </xf>
    <xf numFmtId="171" fontId="5" fillId="0" borderId="17" xfId="33" applyNumberFormat="1" applyFont="1" applyBorder="1" applyAlignment="1">
      <alignment horizontal="right"/>
    </xf>
    <xf numFmtId="171" fontId="5" fillId="0" borderId="18" xfId="33" applyNumberFormat="1" applyFont="1" applyBorder="1" applyAlignment="1">
      <alignment horizontal="right"/>
    </xf>
    <xf numFmtId="171" fontId="5" fillId="0" borderId="0" xfId="33" applyNumberFormat="1" applyFont="1" applyAlignment="1">
      <alignment horizontal="right" vertical="center"/>
    </xf>
    <xf numFmtId="0" fontId="44" fillId="18" borderId="0" xfId="33" applyFont="1" applyFill="1"/>
    <xf numFmtId="3" fontId="45" fillId="18" borderId="0" xfId="33" applyNumberFormat="1" applyFont="1" applyFill="1" applyAlignment="1">
      <alignment horizontal="center"/>
    </xf>
    <xf numFmtId="42" fontId="10" fillId="18" borderId="0" xfId="31" applyNumberFormat="1" applyFont="1" applyFill="1" applyAlignment="1">
      <alignment horizontal="right" vertical="center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20" xfId="31" applyNumberFormat="1" applyFill="1" applyBorder="1" applyAlignment="1" applyProtection="1">
      <alignment horizontal="right" vertical="center"/>
      <protection locked="0"/>
    </xf>
    <xf numFmtId="10" fontId="2" fillId="17" borderId="22" xfId="31" applyNumberFormat="1" applyFill="1" applyBorder="1" applyAlignment="1" applyProtection="1">
      <alignment horizontal="right" vertical="center"/>
      <protection locked="0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10" fontId="2" fillId="0" borderId="0" xfId="30" applyNumberFormat="1" applyAlignment="1">
      <alignment horizontal="center"/>
    </xf>
    <xf numFmtId="0" fontId="46" fillId="18" borderId="0" xfId="30" applyFont="1" applyFill="1"/>
    <xf numFmtId="0" fontId="46" fillId="18" borderId="0" xfId="30" applyFont="1" applyFill="1" applyAlignment="1">
      <alignment horizontal="right"/>
    </xf>
    <xf numFmtId="166" fontId="46" fillId="18" borderId="0" xfId="30" applyNumberFormat="1" applyFont="1" applyFill="1"/>
    <xf numFmtId="0" fontId="47" fillId="18" borderId="0" xfId="30" applyFont="1" applyFill="1"/>
    <xf numFmtId="167" fontId="48" fillId="18" borderId="0" xfId="30" applyNumberFormat="1" applyFont="1" applyFill="1"/>
    <xf numFmtId="9" fontId="47" fillId="18" borderId="0" xfId="30" applyNumberFormat="1" applyFont="1" applyFill="1" applyAlignment="1">
      <alignment horizontal="center"/>
    </xf>
    <xf numFmtId="42" fontId="46" fillId="18" borderId="0" xfId="30" applyNumberFormat="1" applyFont="1" applyFill="1"/>
    <xf numFmtId="0" fontId="21" fillId="0" borderId="0" xfId="33" applyFont="1"/>
    <xf numFmtId="10" fontId="16" fillId="0" borderId="0" xfId="33" applyNumberFormat="1" applyFont="1" applyAlignment="1">
      <alignment horizontal="right" vertical="center"/>
    </xf>
    <xf numFmtId="3" fontId="16" fillId="0" borderId="0" xfId="33" applyNumberFormat="1" applyFont="1" applyAlignment="1">
      <alignment horizontal="center" vertical="center"/>
    </xf>
    <xf numFmtId="9" fontId="5" fillId="0" borderId="16" xfId="33" applyNumberFormat="1" applyFont="1" applyBorder="1" applyAlignment="1">
      <alignment horizontal="right" vertical="center"/>
    </xf>
    <xf numFmtId="10" fontId="5" fillId="0" borderId="16" xfId="33" applyNumberFormat="1" applyFont="1" applyBorder="1" applyAlignment="1">
      <alignment horizontal="right" vertical="center"/>
    </xf>
    <xf numFmtId="9" fontId="5" fillId="0" borderId="0" xfId="33" applyNumberFormat="1" applyFont="1" applyAlignment="1">
      <alignment horizontal="right"/>
    </xf>
    <xf numFmtId="9" fontId="5" fillId="0" borderId="17" xfId="33" applyNumberFormat="1" applyFont="1" applyBorder="1" applyAlignment="1">
      <alignment horizontal="right"/>
    </xf>
    <xf numFmtId="10" fontId="5" fillId="0" borderId="17" xfId="33" applyNumberFormat="1" applyFont="1" applyBorder="1" applyAlignment="1">
      <alignment horizontal="right"/>
    </xf>
    <xf numFmtId="9" fontId="5" fillId="0" borderId="18" xfId="33" applyNumberFormat="1" applyFont="1" applyBorder="1" applyAlignment="1">
      <alignment horizontal="right"/>
    </xf>
    <xf numFmtId="10" fontId="5" fillId="0" borderId="18" xfId="33" applyNumberFormat="1" applyFont="1" applyBorder="1" applyAlignment="1">
      <alignment horizontal="right"/>
    </xf>
    <xf numFmtId="3" fontId="9" fillId="0" borderId="0" xfId="33" applyNumberFormat="1" applyFont="1"/>
    <xf numFmtId="9" fontId="5" fillId="0" borderId="0" xfId="33" applyNumberFormat="1" applyFont="1" applyAlignment="1">
      <alignment horizontal="right" vertical="center"/>
    </xf>
    <xf numFmtId="10" fontId="5" fillId="0" borderId="0" xfId="33" applyNumberFormat="1" applyFont="1" applyAlignment="1">
      <alignment horizontal="right" vertical="center"/>
    </xf>
    <xf numFmtId="171" fontId="1" fillId="16" borderId="0" xfId="33" applyNumberFormat="1" applyFont="1" applyFill="1"/>
    <xf numFmtId="0" fontId="0" fillId="0" borderId="0" xfId="0" applyAlignment="1">
      <alignment horizontal="left"/>
    </xf>
    <xf numFmtId="172" fontId="13" fillId="0" borderId="0" xfId="33" applyNumberFormat="1" applyFont="1" applyAlignment="1">
      <alignment vertical="center"/>
    </xf>
    <xf numFmtId="171" fontId="8" fillId="0" borderId="0" xfId="22" applyNumberFormat="1" applyFont="1" applyFill="1" applyBorder="1" applyAlignment="1" applyProtection="1">
      <alignment vertical="center"/>
    </xf>
    <xf numFmtId="1" fontId="8" fillId="0" borderId="16" xfId="33" applyNumberFormat="1" applyFont="1" applyBorder="1" applyAlignment="1">
      <alignment horizontal="left" vertical="center"/>
    </xf>
    <xf numFmtId="164" fontId="8" fillId="0" borderId="16" xfId="33" applyNumberFormat="1" applyFont="1" applyBorder="1" applyAlignment="1">
      <alignment horizontal="left" vertical="center"/>
    </xf>
    <xf numFmtId="0" fontId="8" fillId="0" borderId="16" xfId="33" applyFont="1" applyBorder="1" applyAlignment="1">
      <alignment vertical="center"/>
    </xf>
    <xf numFmtId="42" fontId="8" fillId="0" borderId="16" xfId="33" applyNumberFormat="1" applyFont="1" applyBorder="1"/>
    <xf numFmtId="0" fontId="22" fillId="0" borderId="0" xfId="33" applyFont="1" applyAlignment="1">
      <alignment vertical="center"/>
    </xf>
    <xf numFmtId="42" fontId="0" fillId="0" borderId="0" xfId="0" applyNumberFormat="1"/>
    <xf numFmtId="0" fontId="2" fillId="16" borderId="0" xfId="30" applyFill="1" applyAlignment="1">
      <alignment horizontal="right"/>
    </xf>
    <xf numFmtId="0" fontId="10" fillId="0" borderId="0" xfId="30" applyFont="1"/>
    <xf numFmtId="166" fontId="10" fillId="0" borderId="0" xfId="30" applyNumberFormat="1" applyFont="1"/>
    <xf numFmtId="171" fontId="2" fillId="0" borderId="0" xfId="30" applyNumberFormat="1" applyAlignment="1">
      <alignment horizontal="right"/>
    </xf>
    <xf numFmtId="171" fontId="2" fillId="0" borderId="4" xfId="30" applyNumberFormat="1" applyBorder="1" applyAlignment="1">
      <alignment horizontal="center"/>
    </xf>
    <xf numFmtId="171" fontId="2" fillId="0" borderId="5" xfId="30" applyNumberFormat="1" applyBorder="1" applyAlignment="1">
      <alignment horizontal="center"/>
    </xf>
    <xf numFmtId="171" fontId="2" fillId="0" borderId="0" xfId="30" applyNumberFormat="1" applyAlignment="1">
      <alignment horizontal="center"/>
    </xf>
    <xf numFmtId="167" fontId="49" fillId="0" borderId="0" xfId="30" applyNumberFormat="1" applyFont="1" applyAlignment="1">
      <alignment horizontal="right"/>
    </xf>
    <xf numFmtId="167" fontId="50" fillId="0" borderId="0" xfId="30" applyNumberFormat="1" applyFont="1"/>
    <xf numFmtId="10" fontId="51" fillId="0" borderId="0" xfId="30" applyNumberFormat="1" applyFont="1" applyAlignment="1">
      <alignment horizontal="center"/>
    </xf>
    <xf numFmtId="10" fontId="47" fillId="18" borderId="0" xfId="30" applyNumberFormat="1" applyFont="1" applyFill="1" applyAlignment="1">
      <alignment horizontal="center"/>
    </xf>
    <xf numFmtId="166" fontId="23" fillId="0" borderId="0" xfId="30" applyNumberFormat="1" applyFont="1" applyAlignment="1">
      <alignment horizontal="left"/>
    </xf>
    <xf numFmtId="171" fontId="23" fillId="0" borderId="0" xfId="30" applyNumberFormat="1" applyFont="1" applyAlignment="1">
      <alignment horizontal="right"/>
    </xf>
    <xf numFmtId="10" fontId="5" fillId="0" borderId="0" xfId="22" applyNumberFormat="1" applyFont="1" applyFill="1" applyBorder="1" applyAlignment="1" applyProtection="1">
      <alignment vertical="center"/>
    </xf>
    <xf numFmtId="0" fontId="1" fillId="16" borderId="0" xfId="33" applyFont="1" applyFill="1" applyAlignment="1">
      <alignment horizontal="left" vertical="center"/>
    </xf>
    <xf numFmtId="0" fontId="17" fillId="16" borderId="0" xfId="33" applyFont="1" applyFill="1" applyAlignment="1">
      <alignment vertical="center"/>
    </xf>
    <xf numFmtId="0" fontId="46" fillId="18" borderId="0" xfId="33" applyFont="1" applyFill="1" applyAlignment="1">
      <alignment horizontal="left" vertical="center"/>
    </xf>
    <xf numFmtId="0" fontId="44" fillId="18" borderId="0" xfId="33" applyFont="1" applyFill="1" applyAlignment="1">
      <alignment vertical="center"/>
    </xf>
    <xf numFmtId="174" fontId="2" fillId="17" borderId="0" xfId="31" applyNumberFormat="1" applyFill="1" applyAlignment="1" applyProtection="1">
      <alignment horizontal="right" vertical="center"/>
      <protection locked="0"/>
    </xf>
    <xf numFmtId="0" fontId="24" fillId="0" borderId="0" xfId="33" applyFont="1" applyAlignment="1">
      <alignment horizontal="left"/>
    </xf>
    <xf numFmtId="42" fontId="1" fillId="16" borderId="4" xfId="31" applyNumberFormat="1" applyFont="1" applyFill="1" applyBorder="1" applyAlignment="1">
      <alignment vertical="center"/>
    </xf>
    <xf numFmtId="168" fontId="9" fillId="0" borderId="0" xfId="31" applyNumberFormat="1" applyFont="1" applyAlignment="1">
      <alignment vertical="center"/>
    </xf>
    <xf numFmtId="10" fontId="5" fillId="0" borderId="0" xfId="33" applyNumberFormat="1" applyFont="1" applyAlignment="1">
      <alignment horizontal="center"/>
    </xf>
    <xf numFmtId="4" fontId="2" fillId="16" borderId="0" xfId="30" applyNumberFormat="1" applyFill="1" applyAlignment="1">
      <alignment vertical="center"/>
    </xf>
    <xf numFmtId="10" fontId="49" fillId="0" borderId="0" xfId="33" applyNumberFormat="1" applyFont="1"/>
    <xf numFmtId="0" fontId="2" fillId="0" borderId="0" xfId="31" applyAlignment="1">
      <alignment horizontal="left" vertical="center"/>
    </xf>
    <xf numFmtId="9" fontId="5" fillId="0" borderId="0" xfId="33" applyNumberFormat="1" applyFont="1"/>
    <xf numFmtId="9" fontId="2" fillId="16" borderId="0" xfId="30" applyNumberFormat="1" applyFill="1"/>
    <xf numFmtId="175" fontId="21" fillId="0" borderId="0" xfId="22" applyNumberFormat="1" applyFont="1" applyProtection="1"/>
    <xf numFmtId="10" fontId="1" fillId="16" borderId="0" xfId="33" applyNumberFormat="1" applyFont="1" applyFill="1"/>
    <xf numFmtId="1" fontId="9" fillId="16" borderId="20" xfId="33" applyNumberFormat="1" applyFont="1" applyFill="1" applyBorder="1" applyAlignment="1">
      <alignment horizontal="left" vertical="center"/>
    </xf>
    <xf numFmtId="164" fontId="9" fillId="16" borderId="20" xfId="33" applyNumberFormat="1" applyFont="1" applyFill="1" applyBorder="1" applyAlignment="1">
      <alignment horizontal="left" vertical="center"/>
    </xf>
    <xf numFmtId="0" fontId="9" fillId="16" borderId="20" xfId="33" applyFont="1" applyFill="1" applyBorder="1" applyAlignment="1">
      <alignment vertical="center"/>
    </xf>
    <xf numFmtId="42" fontId="8" fillId="0" borderId="20" xfId="33" applyNumberFormat="1" applyFont="1" applyBorder="1" applyAlignment="1">
      <alignment vertical="center"/>
    </xf>
    <xf numFmtId="175" fontId="46" fillId="0" borderId="0" xfId="22" applyNumberFormat="1" applyFont="1" applyFill="1" applyAlignment="1" applyProtection="1">
      <alignment horizontal="right" vertical="center"/>
    </xf>
    <xf numFmtId="10" fontId="52" fillId="0" borderId="0" xfId="22" applyNumberFormat="1" applyFont="1" applyAlignment="1">
      <alignment horizontal="right" vertical="center"/>
    </xf>
    <xf numFmtId="10" fontId="52" fillId="0" borderId="2" xfId="22" applyNumberFormat="1" applyFont="1" applyBorder="1" applyAlignment="1">
      <alignment horizontal="right" vertical="center"/>
    </xf>
    <xf numFmtId="1" fontId="5" fillId="0" borderId="16" xfId="33" applyNumberFormat="1" applyFont="1" applyBorder="1"/>
    <xf numFmtId="1" fontId="5" fillId="0" borderId="27" xfId="33" applyNumberFormat="1" applyFont="1" applyBorder="1"/>
    <xf numFmtId="1" fontId="9" fillId="16" borderId="0" xfId="33" applyNumberFormat="1" applyFont="1" applyFill="1" applyAlignment="1">
      <alignment vertical="center"/>
    </xf>
    <xf numFmtId="9" fontId="8" fillId="17" borderId="19" xfId="33" applyNumberFormat="1" applyFont="1" applyFill="1" applyBorder="1" applyAlignment="1" applyProtection="1">
      <alignment horizontal="right"/>
      <protection locked="0"/>
    </xf>
    <xf numFmtId="3" fontId="8" fillId="16" borderId="16" xfId="33" applyNumberFormat="1" applyFont="1" applyFill="1" applyBorder="1"/>
    <xf numFmtId="9" fontId="8" fillId="0" borderId="20" xfId="33" applyNumberFormat="1" applyFont="1" applyBorder="1" applyAlignment="1">
      <alignment horizontal="right"/>
    </xf>
    <xf numFmtId="9" fontId="8" fillId="17" borderId="20" xfId="33" applyNumberFormat="1" applyFont="1" applyFill="1" applyBorder="1" applyAlignment="1" applyProtection="1">
      <alignment horizontal="right"/>
      <protection locked="0"/>
    </xf>
    <xf numFmtId="3" fontId="8" fillId="16" borderId="0" xfId="33" applyNumberFormat="1" applyFont="1" applyFill="1"/>
    <xf numFmtId="3" fontId="8" fillId="17" borderId="20" xfId="33" applyNumberFormat="1" applyFont="1" applyFill="1" applyBorder="1" applyProtection="1">
      <protection locked="0"/>
    </xf>
    <xf numFmtId="3" fontId="8" fillId="16" borderId="19" xfId="33" applyNumberFormat="1" applyFont="1" applyFill="1" applyBorder="1"/>
    <xf numFmtId="3" fontId="8" fillId="16" borderId="20" xfId="33" applyNumberFormat="1" applyFont="1" applyFill="1" applyBorder="1"/>
    <xf numFmtId="3" fontId="8" fillId="16" borderId="21" xfId="33" applyNumberFormat="1" applyFont="1" applyFill="1" applyBorder="1"/>
    <xf numFmtId="9" fontId="9" fillId="0" borderId="20" xfId="33" applyNumberFormat="1" applyFont="1" applyBorder="1" applyAlignment="1">
      <alignment horizontal="right"/>
    </xf>
    <xf numFmtId="0" fontId="8" fillId="0" borderId="0" xfId="33" applyFont="1" applyAlignment="1">
      <alignment horizontal="right"/>
    </xf>
    <xf numFmtId="3" fontId="1" fillId="16" borderId="0" xfId="33" applyNumberFormat="1" applyFont="1" applyFill="1" applyAlignment="1">
      <alignment horizontal="right"/>
    </xf>
    <xf numFmtId="10" fontId="8" fillId="0" borderId="0" xfId="33" applyNumberFormat="1" applyFont="1" applyAlignment="1">
      <alignment horizontal="right"/>
    </xf>
    <xf numFmtId="3" fontId="8" fillId="17" borderId="20" xfId="33" applyNumberFormat="1" applyFont="1" applyFill="1" applyBorder="1" applyAlignment="1" applyProtection="1">
      <alignment vertical="center"/>
      <protection locked="0"/>
    </xf>
    <xf numFmtId="42" fontId="46" fillId="18" borderId="0" xfId="33" applyNumberFormat="1" applyFont="1" applyFill="1" applyAlignment="1">
      <alignment horizontal="right" vertical="center"/>
    </xf>
    <xf numFmtId="10" fontId="5" fillId="17" borderId="0" xfId="33" applyNumberFormat="1" applyFont="1" applyFill="1" applyAlignment="1">
      <alignment horizontal="right"/>
    </xf>
    <xf numFmtId="168" fontId="9" fillId="17" borderId="0" xfId="31" applyNumberFormat="1" applyFont="1" applyFill="1" applyAlignment="1">
      <alignment vertical="center"/>
    </xf>
    <xf numFmtId="10" fontId="5" fillId="17" borderId="20" xfId="33" applyNumberFormat="1" applyFont="1" applyFill="1" applyBorder="1" applyAlignment="1">
      <alignment horizontal="right"/>
    </xf>
    <xf numFmtId="168" fontId="9" fillId="17" borderId="20" xfId="31" applyNumberFormat="1" applyFont="1" applyFill="1" applyBorder="1" applyAlignment="1">
      <alignment vertical="center"/>
    </xf>
    <xf numFmtId="10" fontId="5" fillId="17" borderId="19" xfId="33" applyNumberFormat="1" applyFont="1" applyFill="1" applyBorder="1" applyAlignment="1">
      <alignment horizontal="right"/>
    </xf>
    <xf numFmtId="42" fontId="9" fillId="17" borderId="19" xfId="31" applyNumberFormat="1" applyFont="1" applyFill="1" applyBorder="1" applyAlignment="1">
      <alignment vertical="center"/>
    </xf>
    <xf numFmtId="42" fontId="9" fillId="17" borderId="20" xfId="31" applyNumberFormat="1" applyFont="1" applyFill="1" applyBorder="1" applyAlignment="1">
      <alignment vertical="center"/>
    </xf>
    <xf numFmtId="0" fontId="5" fillId="0" borderId="6" xfId="33" applyFont="1" applyBorder="1"/>
    <xf numFmtId="0" fontId="3" fillId="0" borderId="6" xfId="12" applyFont="1" applyFill="1" applyBorder="1" applyAlignment="1" applyProtection="1">
      <alignment horizontal="center" vertical="center"/>
    </xf>
    <xf numFmtId="0" fontId="3" fillId="0" borderId="0" xfId="12" applyFont="1" applyFill="1" applyBorder="1" applyAlignment="1" applyProtection="1">
      <alignment horizontal="center" vertical="center"/>
    </xf>
    <xf numFmtId="175" fontId="1" fillId="16" borderId="0" xfId="22" applyNumberFormat="1" applyFont="1" applyFill="1" applyAlignment="1" applyProtection="1">
      <alignment horizontal="right"/>
    </xf>
    <xf numFmtId="10" fontId="56" fillId="0" borderId="0" xfId="33" applyNumberFormat="1" applyFont="1"/>
    <xf numFmtId="42" fontId="9" fillId="16" borderId="2" xfId="30" applyNumberFormat="1" applyFont="1" applyFill="1" applyBorder="1" applyAlignment="1">
      <alignment vertical="center"/>
    </xf>
    <xf numFmtId="1" fontId="53" fillId="0" borderId="0" xfId="12" applyNumberFormat="1" applyFont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0" fontId="52" fillId="0" borderId="0" xfId="31" applyFont="1" applyAlignment="1">
      <alignment horizontal="center" vertical="center"/>
    </xf>
    <xf numFmtId="10" fontId="52" fillId="0" borderId="0" xfId="22" applyNumberFormat="1" applyFont="1" applyFill="1" applyAlignment="1" applyProtection="1">
      <alignment vertical="center"/>
    </xf>
    <xf numFmtId="10" fontId="43" fillId="0" borderId="0" xfId="22" applyNumberFormat="1" applyFont="1" applyFill="1" applyAlignment="1" applyProtection="1">
      <alignment vertical="center"/>
    </xf>
    <xf numFmtId="10" fontId="43" fillId="0" borderId="2" xfId="22" applyNumberFormat="1" applyFont="1" applyFill="1" applyBorder="1" applyAlignment="1" applyProtection="1">
      <alignment vertical="center"/>
    </xf>
    <xf numFmtId="10" fontId="52" fillId="0" borderId="0" xfId="22" applyNumberFormat="1" applyFont="1" applyFill="1" applyAlignment="1" applyProtection="1">
      <alignment horizontal="right" vertical="center"/>
    </xf>
    <xf numFmtId="10" fontId="2" fillId="17" borderId="0" xfId="31" applyNumberFormat="1" applyFill="1" applyAlignment="1" applyProtection="1">
      <alignment horizontal="right" vertical="center"/>
      <protection locked="0"/>
    </xf>
    <xf numFmtId="10" fontId="2" fillId="17" borderId="26" xfId="31" applyNumberFormat="1" applyFill="1" applyBorder="1" applyAlignment="1" applyProtection="1">
      <alignment horizontal="right" vertical="center"/>
      <protection locked="0"/>
    </xf>
    <xf numFmtId="3" fontId="8" fillId="10" borderId="20" xfId="33" applyNumberFormat="1" applyFont="1" applyFill="1" applyBorder="1"/>
    <xf numFmtId="3" fontId="8" fillId="10" borderId="23" xfId="33" applyNumberFormat="1" applyFont="1" applyFill="1" applyBorder="1"/>
    <xf numFmtId="3" fontId="8" fillId="10" borderId="24" xfId="33" applyNumberFormat="1" applyFont="1" applyFill="1" applyBorder="1"/>
    <xf numFmtId="0" fontId="9" fillId="0" borderId="16" xfId="33" applyFont="1" applyBorder="1" applyAlignment="1">
      <alignment vertical="center"/>
    </xf>
    <xf numFmtId="173" fontId="8" fillId="17" borderId="25" xfId="33" applyNumberFormat="1" applyFont="1" applyFill="1" applyBorder="1" applyAlignment="1" applyProtection="1">
      <alignment vertical="center"/>
      <protection locked="0"/>
    </xf>
    <xf numFmtId="3" fontId="8" fillId="17" borderId="19" xfId="33" applyNumberFormat="1" applyFont="1" applyFill="1" applyBorder="1" applyAlignment="1" applyProtection="1">
      <alignment vertical="center"/>
      <protection locked="0"/>
    </xf>
    <xf numFmtId="3" fontId="8" fillId="0" borderId="20" xfId="33" applyNumberFormat="1" applyFont="1" applyBorder="1"/>
    <xf numFmtId="3" fontId="8" fillId="16" borderId="20" xfId="33" applyNumberFormat="1" applyFont="1" applyFill="1" applyBorder="1" applyAlignment="1">
      <alignment vertical="center"/>
    </xf>
    <xf numFmtId="172" fontId="16" fillId="0" borderId="0" xfId="33" applyNumberFormat="1" applyFont="1" applyAlignment="1">
      <alignment horizontal="center" vertical="center"/>
    </xf>
    <xf numFmtId="10" fontId="5" fillId="0" borderId="16" xfId="33" applyNumberFormat="1" applyFont="1" applyBorder="1" applyAlignment="1">
      <alignment horizontal="center" vertical="center"/>
    </xf>
    <xf numFmtId="10" fontId="5" fillId="0" borderId="16" xfId="22" applyNumberFormat="1" applyFont="1" applyFill="1" applyBorder="1" applyAlignment="1" applyProtection="1">
      <alignment horizontal="center" vertical="center"/>
    </xf>
    <xf numFmtId="10" fontId="5" fillId="0" borderId="0" xfId="22" applyNumberFormat="1" applyFont="1" applyFill="1" applyBorder="1" applyAlignment="1" applyProtection="1">
      <alignment horizontal="center" vertical="center"/>
    </xf>
    <xf numFmtId="10" fontId="8" fillId="0" borderId="0" xfId="22" applyNumberFormat="1" applyFont="1" applyFill="1" applyBorder="1" applyAlignment="1" applyProtection="1">
      <alignment horizontal="center" vertical="center"/>
    </xf>
    <xf numFmtId="3" fontId="8" fillId="17" borderId="26" xfId="33" applyNumberFormat="1" applyFont="1" applyFill="1" applyBorder="1" applyAlignment="1" applyProtection="1">
      <alignment vertical="center"/>
      <protection locked="0"/>
    </xf>
    <xf numFmtId="0" fontId="2" fillId="0" borderId="0" xfId="31" applyAlignment="1">
      <alignment horizontal="left" vertical="top"/>
    </xf>
    <xf numFmtId="0" fontId="2" fillId="0" borderId="0" xfId="31" applyAlignment="1">
      <alignment vertical="top"/>
    </xf>
    <xf numFmtId="0" fontId="5" fillId="0" borderId="0" xfId="33" applyFont="1" applyAlignment="1">
      <alignment vertical="top"/>
    </xf>
    <xf numFmtId="10" fontId="2" fillId="0" borderId="6" xfId="31" applyNumberFormat="1" applyBorder="1" applyAlignment="1">
      <alignment horizontal="right" vertical="top"/>
    </xf>
    <xf numFmtId="168" fontId="8" fillId="0" borderId="6" xfId="31" applyNumberFormat="1" applyFont="1" applyBorder="1" applyAlignment="1">
      <alignment vertical="top"/>
    </xf>
    <xf numFmtId="168" fontId="8" fillId="0" borderId="0" xfId="31" applyNumberFormat="1" applyFont="1" applyAlignment="1">
      <alignment vertical="top"/>
    </xf>
    <xf numFmtId="3" fontId="5" fillId="0" borderId="0" xfId="33" applyNumberFormat="1" applyFont="1" applyAlignment="1">
      <alignment horizontal="right" vertical="top"/>
    </xf>
    <xf numFmtId="0" fontId="3" fillId="0" borderId="0" xfId="30" applyFont="1" applyAlignment="1">
      <alignment vertical="center"/>
    </xf>
    <xf numFmtId="0" fontId="42" fillId="0" borderId="2" xfId="31" applyFont="1" applyBorder="1" applyAlignment="1">
      <alignment vertical="center"/>
    </xf>
    <xf numFmtId="10" fontId="52" fillId="0" borderId="2" xfId="22" applyNumberFormat="1" applyFont="1" applyFill="1" applyBorder="1" applyAlignment="1" applyProtection="1">
      <alignment vertical="center"/>
    </xf>
    <xf numFmtId="42" fontId="2" fillId="0" borderId="2" xfId="30" applyNumberFormat="1" applyBorder="1"/>
    <xf numFmtId="42" fontId="9" fillId="0" borderId="0" xfId="30" applyNumberFormat="1" applyFont="1" applyAlignment="1">
      <alignment vertical="center"/>
    </xf>
    <xf numFmtId="42" fontId="1" fillId="16" borderId="6" xfId="30" applyNumberFormat="1" applyFont="1" applyFill="1" applyBorder="1"/>
    <xf numFmtId="3" fontId="15" fillId="0" borderId="0" xfId="33" applyNumberFormat="1" applyFont="1"/>
    <xf numFmtId="0" fontId="55" fillId="0" borderId="0" xfId="30" applyFont="1" applyAlignment="1">
      <alignment horizontal="center"/>
    </xf>
    <xf numFmtId="1" fontId="3" fillId="0" borderId="6" xfId="12" applyNumberFormat="1" applyFont="1" applyFill="1" applyBorder="1" applyAlignment="1" applyProtection="1">
      <alignment horizontal="center" vertical="center"/>
    </xf>
    <xf numFmtId="10" fontId="2" fillId="0" borderId="19" xfId="31" applyNumberFormat="1" applyBorder="1" applyAlignment="1">
      <alignment horizontal="right" vertical="center"/>
    </xf>
    <xf numFmtId="10" fontId="2" fillId="0" borderId="20" xfId="31" applyNumberFormat="1" applyBorder="1" applyAlignment="1">
      <alignment horizontal="right" vertical="center"/>
    </xf>
    <xf numFmtId="10" fontId="2" fillId="0" borderId="22" xfId="31" applyNumberFormat="1" applyBorder="1" applyAlignment="1">
      <alignment horizontal="right" vertical="center"/>
    </xf>
    <xf numFmtId="10" fontId="2" fillId="0" borderId="2" xfId="31" applyNumberFormat="1" applyBorder="1" applyAlignment="1">
      <alignment horizontal="right" vertical="center"/>
    </xf>
    <xf numFmtId="10" fontId="52" fillId="0" borderId="0" xfId="33" applyNumberFormat="1" applyFont="1"/>
    <xf numFmtId="10" fontId="52" fillId="0" borderId="0" xfId="31" applyNumberFormat="1" applyFont="1" applyAlignment="1">
      <alignment horizontal="right" vertical="top"/>
    </xf>
    <xf numFmtId="0" fontId="5" fillId="0" borderId="19" xfId="33" applyFont="1" applyBorder="1"/>
    <xf numFmtId="1" fontId="9" fillId="16" borderId="0" xfId="33" applyNumberFormat="1" applyFont="1" applyFill="1" applyAlignment="1">
      <alignment horizontal="left" vertical="center"/>
    </xf>
    <xf numFmtId="10" fontId="50" fillId="0" borderId="0" xfId="33" applyNumberFormat="1" applyFont="1" applyAlignment="1">
      <alignment horizontal="center"/>
    </xf>
    <xf numFmtId="10" fontId="16" fillId="0" borderId="0" xfId="33" applyNumberFormat="1" applyFont="1" applyAlignment="1">
      <alignment horizontal="right" wrapText="1"/>
    </xf>
    <xf numFmtId="175" fontId="23" fillId="0" borderId="0" xfId="30" applyNumberFormat="1" applyFont="1" applyAlignment="1">
      <alignment horizontal="right"/>
    </xf>
    <xf numFmtId="1" fontId="9" fillId="16" borderId="16" xfId="33" applyNumberFormat="1" applyFont="1" applyFill="1" applyBorder="1" applyAlignment="1">
      <alignment horizontal="left" vertical="center"/>
    </xf>
    <xf numFmtId="0" fontId="2" fillId="0" borderId="6" xfId="31" applyBorder="1" applyAlignment="1">
      <alignment horizontal="left" vertical="center" wrapText="1"/>
    </xf>
    <xf numFmtId="0" fontId="57" fillId="0" borderId="0" xfId="33" applyFont="1" applyAlignment="1">
      <alignment horizontal="left" vertical="top" wrapText="1"/>
    </xf>
    <xf numFmtId="10" fontId="58" fillId="0" borderId="0" xfId="22" applyNumberFormat="1" applyFont="1" applyFill="1" applyAlignment="1" applyProtection="1">
      <alignment horizontal="center" vertical="center"/>
    </xf>
    <xf numFmtId="10" fontId="43" fillId="0" borderId="0" xfId="22" applyNumberFormat="1" applyFont="1" applyFill="1" applyAlignment="1" applyProtection="1">
      <alignment horizontal="center" vertical="center"/>
    </xf>
    <xf numFmtId="0" fontId="3" fillId="0" borderId="0" xfId="31" applyFont="1" applyAlignment="1">
      <alignment horizontal="left" vertical="center"/>
    </xf>
    <xf numFmtId="0" fontId="3" fillId="0" borderId="2" xfId="31" applyFont="1" applyBorder="1" applyAlignment="1">
      <alignment horizontal="left" vertical="center"/>
    </xf>
  </cellXfs>
  <cellStyles count="42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0"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E$42" horiz="1" max="42" min="6" page="0" val="22"/>
</file>

<file path=xl/ctrlProps/ctrlProp10.xml><?xml version="1.0" encoding="utf-8"?>
<formControlPr xmlns="http://schemas.microsoft.com/office/spreadsheetml/2009/9/main" objectType="Scroll" dx="22" fmlaLink="$E$44" horiz="1" max="5" min="1" page="0"/>
</file>

<file path=xl/ctrlProps/ctrlProp11.xml><?xml version="1.0" encoding="utf-8"?>
<formControlPr xmlns="http://schemas.microsoft.com/office/spreadsheetml/2009/9/main" objectType="Scroll" dx="22" fmlaLink="$E$45" horiz="1" max="5" min="1" page="0" val="2"/>
</file>

<file path=xl/ctrlProps/ctrlProp12.xml><?xml version="1.0" encoding="utf-8"?>
<formControlPr xmlns="http://schemas.microsoft.com/office/spreadsheetml/2009/9/main" objectType="Scroll" dx="22" fmlaLink="$E$47" horiz="1" max="3" page="0" val="0"/>
</file>

<file path=xl/ctrlProps/ctrlProp13.xml><?xml version="1.0" encoding="utf-8"?>
<formControlPr xmlns="http://schemas.microsoft.com/office/spreadsheetml/2009/9/main" objectType="Scroll" dx="22" fmlaLink="$E$48" horiz="1" max="3" page="0" val="0"/>
</file>

<file path=xl/ctrlProps/ctrlProp14.xml><?xml version="1.0" encoding="utf-8"?>
<formControlPr xmlns="http://schemas.microsoft.com/office/spreadsheetml/2009/9/main" objectType="Scroll" dx="22" fmlaLink="$E$49" horiz="1" max="3" page="0" val="0"/>
</file>

<file path=xl/ctrlProps/ctrlProp15.xml><?xml version="1.0" encoding="utf-8"?>
<formControlPr xmlns="http://schemas.microsoft.com/office/spreadsheetml/2009/9/main" objectType="Scroll" dx="22" fmlaLink="$E$42" horiz="1" max="42" min="6" page="0" val="20"/>
</file>

<file path=xl/ctrlProps/ctrlProp16.xml><?xml version="1.0" encoding="utf-8"?>
<formControlPr xmlns="http://schemas.microsoft.com/office/spreadsheetml/2009/9/main" objectType="Scroll" dx="22" fmlaLink="$E$43" horiz="1" max="5" min="1" page="0" val="2"/>
</file>

<file path=xl/ctrlProps/ctrlProp17.xml><?xml version="1.0" encoding="utf-8"?>
<formControlPr xmlns="http://schemas.microsoft.com/office/spreadsheetml/2009/9/main" objectType="Scroll" dx="22" fmlaLink="$E$44" horiz="1" max="5" min="1" page="0"/>
</file>

<file path=xl/ctrlProps/ctrlProp18.xml><?xml version="1.0" encoding="utf-8"?>
<formControlPr xmlns="http://schemas.microsoft.com/office/spreadsheetml/2009/9/main" objectType="Scroll" dx="22" fmlaLink="$E$45" horiz="1" max="5" min="1" page="0"/>
</file>

<file path=xl/ctrlProps/ctrlProp19.xml><?xml version="1.0" encoding="utf-8"?>
<formControlPr xmlns="http://schemas.microsoft.com/office/spreadsheetml/2009/9/main" objectType="Scroll" dx="22" fmlaLink="$E$47" horiz="1" max="3" page="0" val="0"/>
</file>

<file path=xl/ctrlProps/ctrlProp2.xml><?xml version="1.0" encoding="utf-8"?>
<formControlPr xmlns="http://schemas.microsoft.com/office/spreadsheetml/2009/9/main" objectType="Scroll" dx="22" fmlaLink="$E$43" horiz="1" max="5" min="1" page="0" val="2"/>
</file>

<file path=xl/ctrlProps/ctrlProp20.xml><?xml version="1.0" encoding="utf-8"?>
<formControlPr xmlns="http://schemas.microsoft.com/office/spreadsheetml/2009/9/main" objectType="Scroll" dx="22" fmlaLink="$E$48" horiz="1" max="3" page="0" val="0"/>
</file>

<file path=xl/ctrlProps/ctrlProp21.xml><?xml version="1.0" encoding="utf-8"?>
<formControlPr xmlns="http://schemas.microsoft.com/office/spreadsheetml/2009/9/main" objectType="Scroll" dx="22" fmlaLink="$E$49" horiz="1" max="3" page="0" val="0"/>
</file>

<file path=xl/ctrlProps/ctrlProp22.xml><?xml version="1.0" encoding="utf-8"?>
<formControlPr xmlns="http://schemas.microsoft.com/office/spreadsheetml/2009/9/main" objectType="Scroll" dx="22" fmlaLink="$E$42" horiz="1" max="42" min="6" page="0" val="22"/>
</file>

<file path=xl/ctrlProps/ctrlProp23.xml><?xml version="1.0" encoding="utf-8"?>
<formControlPr xmlns="http://schemas.microsoft.com/office/spreadsheetml/2009/9/main" objectType="Scroll" dx="22" fmlaLink="$E$43" horiz="1" max="5" min="1" page="0" val="2"/>
</file>

<file path=xl/ctrlProps/ctrlProp24.xml><?xml version="1.0" encoding="utf-8"?>
<formControlPr xmlns="http://schemas.microsoft.com/office/spreadsheetml/2009/9/main" objectType="Scroll" dx="22" fmlaLink="$E$44" horiz="1" max="5" min="1" page="0"/>
</file>

<file path=xl/ctrlProps/ctrlProp25.xml><?xml version="1.0" encoding="utf-8"?>
<formControlPr xmlns="http://schemas.microsoft.com/office/spreadsheetml/2009/9/main" objectType="Scroll" dx="22" fmlaLink="$E$45" horiz="1" max="5" min="1" page="0" val="2"/>
</file>

<file path=xl/ctrlProps/ctrlProp26.xml><?xml version="1.0" encoding="utf-8"?>
<formControlPr xmlns="http://schemas.microsoft.com/office/spreadsheetml/2009/9/main" objectType="Scroll" dx="22" fmlaLink="$E$47" horiz="1" max="3" page="0" val="0"/>
</file>

<file path=xl/ctrlProps/ctrlProp27.xml><?xml version="1.0" encoding="utf-8"?>
<formControlPr xmlns="http://schemas.microsoft.com/office/spreadsheetml/2009/9/main" objectType="Scroll" dx="22" fmlaLink="$E$48" horiz="1" max="3" page="0" val="0"/>
</file>

<file path=xl/ctrlProps/ctrlProp28.xml><?xml version="1.0" encoding="utf-8"?>
<formControlPr xmlns="http://schemas.microsoft.com/office/spreadsheetml/2009/9/main" objectType="Scroll" dx="22" fmlaLink="$E$49" horiz="1" max="3" page="0" val="0"/>
</file>

<file path=xl/ctrlProps/ctrlProp29.xml><?xml version="1.0" encoding="utf-8"?>
<formControlPr xmlns="http://schemas.microsoft.com/office/spreadsheetml/2009/9/main" objectType="Scroll" dx="22" fmlaLink="$E$42" horiz="1" max="42" min="6" page="0" val="22"/>
</file>

<file path=xl/ctrlProps/ctrlProp3.xml><?xml version="1.0" encoding="utf-8"?>
<formControlPr xmlns="http://schemas.microsoft.com/office/spreadsheetml/2009/9/main" objectType="Scroll" dx="22" fmlaLink="$E$44" horiz="1" max="5" min="1" page="0"/>
</file>

<file path=xl/ctrlProps/ctrlProp30.xml><?xml version="1.0" encoding="utf-8"?>
<formControlPr xmlns="http://schemas.microsoft.com/office/spreadsheetml/2009/9/main" objectType="Scroll" dx="22" fmlaLink="$E$43" horiz="1" max="5" min="1" page="0" val="2"/>
</file>

<file path=xl/ctrlProps/ctrlProp31.xml><?xml version="1.0" encoding="utf-8"?>
<formControlPr xmlns="http://schemas.microsoft.com/office/spreadsheetml/2009/9/main" objectType="Scroll" dx="22" fmlaLink="$E$44" horiz="1" max="5" min="1" page="0"/>
</file>

<file path=xl/ctrlProps/ctrlProp32.xml><?xml version="1.0" encoding="utf-8"?>
<formControlPr xmlns="http://schemas.microsoft.com/office/spreadsheetml/2009/9/main" objectType="Scroll" dx="22" fmlaLink="$E$45" horiz="1" max="5" min="1" page="0" val="2"/>
</file>

<file path=xl/ctrlProps/ctrlProp33.xml><?xml version="1.0" encoding="utf-8"?>
<formControlPr xmlns="http://schemas.microsoft.com/office/spreadsheetml/2009/9/main" objectType="Scroll" dx="22" fmlaLink="$E$47" horiz="1" max="3" page="0" val="0"/>
</file>

<file path=xl/ctrlProps/ctrlProp34.xml><?xml version="1.0" encoding="utf-8"?>
<formControlPr xmlns="http://schemas.microsoft.com/office/spreadsheetml/2009/9/main" objectType="Scroll" dx="22" fmlaLink="$E$48" horiz="1" max="3" page="0" val="0"/>
</file>

<file path=xl/ctrlProps/ctrlProp35.xml><?xml version="1.0" encoding="utf-8"?>
<formControlPr xmlns="http://schemas.microsoft.com/office/spreadsheetml/2009/9/main" objectType="Scroll" dx="22" fmlaLink="$E$49" horiz="1" max="3" page="0" val="0"/>
</file>

<file path=xl/ctrlProps/ctrlProp4.xml><?xml version="1.0" encoding="utf-8"?>
<formControlPr xmlns="http://schemas.microsoft.com/office/spreadsheetml/2009/9/main" objectType="Scroll" dx="22" fmlaLink="$E$45" horiz="1" max="5" min="1" page="0" val="2"/>
</file>

<file path=xl/ctrlProps/ctrlProp5.xml><?xml version="1.0" encoding="utf-8"?>
<formControlPr xmlns="http://schemas.microsoft.com/office/spreadsheetml/2009/9/main" objectType="Scroll" dx="22" fmlaLink="$E$47" horiz="1" max="3" page="0" val="0"/>
</file>

<file path=xl/ctrlProps/ctrlProp6.xml><?xml version="1.0" encoding="utf-8"?>
<formControlPr xmlns="http://schemas.microsoft.com/office/spreadsheetml/2009/9/main" objectType="Scroll" dx="22" fmlaLink="$E$48" horiz="1" max="3" page="0" val="0"/>
</file>

<file path=xl/ctrlProps/ctrlProp7.xml><?xml version="1.0" encoding="utf-8"?>
<formControlPr xmlns="http://schemas.microsoft.com/office/spreadsheetml/2009/9/main" objectType="Scroll" dx="22" fmlaLink="$E$49" horiz="1" max="3" page="0" val="0"/>
</file>

<file path=xl/ctrlProps/ctrlProp8.xml><?xml version="1.0" encoding="utf-8"?>
<formControlPr xmlns="http://schemas.microsoft.com/office/spreadsheetml/2009/9/main" objectType="Scroll" dx="22" fmlaLink="$E$42" horiz="1" max="42" min="6" page="0" val="23"/>
</file>

<file path=xl/ctrlProps/ctrlProp9.xml><?xml version="1.0" encoding="utf-8"?>
<formControlPr xmlns="http://schemas.microsoft.com/office/spreadsheetml/2009/9/main" objectType="Scroll" dx="22" fmlaLink="$E$43" horiz="1" max="5" min="1" page="0" val="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6350</xdr:colOff>
      <xdr:row>35</xdr:row>
      <xdr:rowOff>152400</xdr:rowOff>
    </xdr:from>
    <xdr:to>
      <xdr:col>8</xdr:col>
      <xdr:colOff>597115</xdr:colOff>
      <xdr:row>54</xdr:row>
      <xdr:rowOff>95230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4435475" y="4410075"/>
          <a:ext cx="3172040" cy="2352655"/>
          <a:chOff x="4483093" y="5303997"/>
          <a:chExt cx="2705205" cy="2430305"/>
        </a:xfrm>
      </xdr:grpSpPr>
      <xdr:grpSp>
        <xdr:nvGrpSpPr>
          <xdr:cNvPr id="18" name="Gruppieren 1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GrpSpPr>
            <a:grpSpLocks/>
          </xdr:cNvGrpSpPr>
        </xdr:nvGrpSpPr>
        <xdr:grpSpPr bwMode="auto">
          <a:xfrm>
            <a:off x="4483093" y="5363306"/>
            <a:ext cx="1285505" cy="2370996"/>
            <a:chOff x="4881355" y="5954564"/>
            <a:chExt cx="697966" cy="2199355"/>
          </a:xfrm>
        </xdr:grpSpPr>
        <xdr:cxnSp macro="">
          <xdr:nvCxnSpPr>
            <xdr:cNvPr id="21" name="Gerade Verbindung 4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CxnSpPr/>
          </xdr:nvCxnSpPr>
          <xdr:spPr>
            <a:xfrm flipH="1">
              <a:off x="5576505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Gerade Verbindung mit Pfeil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9" name="Gerader Verbinder 18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>
          <a:xfrm>
            <a:off x="5766594" y="5358458"/>
            <a:ext cx="1421704" cy="627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Gerader Verbinder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CxnSpPr/>
        </xdr:nvCxnSpPr>
        <xdr:spPr>
          <a:xfrm flipH="1" flipV="1">
            <a:off x="7186552" y="5303997"/>
            <a:ext cx="702" cy="5691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698500</xdr:colOff>
      <xdr:row>40</xdr:row>
      <xdr:rowOff>134216</xdr:rowOff>
    </xdr:from>
    <xdr:to>
      <xdr:col>8</xdr:col>
      <xdr:colOff>343710</xdr:colOff>
      <xdr:row>49</xdr:row>
      <xdr:rowOff>1821</xdr:rowOff>
    </xdr:to>
    <xdr:grpSp>
      <xdr:nvGrpSpPr>
        <xdr:cNvPr id="24" name="Gruppieren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6727825" y="4972916"/>
          <a:ext cx="626285" cy="1220155"/>
          <a:chOff x="6712115" y="5930784"/>
          <a:chExt cx="625375" cy="1356691"/>
        </a:xfrm>
      </xdr:grpSpPr>
      <xdr:cxnSp macro="">
        <xdr:nvCxnSpPr>
          <xdr:cNvPr id="25" name="Gerader Verbinder 13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CxnSpPr/>
        </xdr:nvCxnSpPr>
        <xdr:spPr>
          <a:xfrm rot="16200000" flipV="1">
            <a:off x="6753792" y="6719468"/>
            <a:ext cx="1031696" cy="104318"/>
          </a:xfrm>
          <a:prstGeom prst="bentConnector3">
            <a:avLst>
              <a:gd name="adj1" fmla="val 5268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Verbinder: gewinkelt 25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CxnSpPr/>
        </xdr:nvCxnSpPr>
        <xdr:spPr>
          <a:xfrm rot="16200000" flipV="1">
            <a:off x="6621019" y="6021880"/>
            <a:ext cx="324993" cy="142802"/>
          </a:xfrm>
          <a:prstGeom prst="bentConnector3">
            <a:avLst>
              <a:gd name="adj1" fmla="val 3431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Gerader Verbinder 13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CxnSpPr/>
        </xdr:nvCxnSpPr>
        <xdr:spPr>
          <a:xfrm rot="5400000" flipH="1" flipV="1">
            <a:off x="6282220" y="6707414"/>
            <a:ext cx="1033545" cy="111839"/>
          </a:xfrm>
          <a:prstGeom prst="bentConnector3">
            <a:avLst>
              <a:gd name="adj1" fmla="val 5208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" name="Verbinder: gewinkelt 27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CxnSpPr/>
        </xdr:nvCxnSpPr>
        <xdr:spPr>
          <a:xfrm rot="5400000" flipH="1" flipV="1">
            <a:off x="7117862" y="6041065"/>
            <a:ext cx="320324" cy="118932"/>
          </a:xfrm>
          <a:prstGeom prst="bentConnector3">
            <a:avLst>
              <a:gd name="adj1" fmla="val 3785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20481" name="Scroll Bar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20482" name="Scroll Bar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20483" name="Scroll Bar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3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20484" name="Scroll Bar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3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20485" name="Scroll Bar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3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20486" name="Scroll Bar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3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20487" name="Scroll Bar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3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6350</xdr:colOff>
      <xdr:row>35</xdr:row>
      <xdr:rowOff>152400</xdr:rowOff>
    </xdr:from>
    <xdr:to>
      <xdr:col>8</xdr:col>
      <xdr:colOff>597115</xdr:colOff>
      <xdr:row>54</xdr:row>
      <xdr:rowOff>95230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435475" y="4410075"/>
          <a:ext cx="3172040" cy="2352655"/>
          <a:chOff x="4483093" y="5303997"/>
          <a:chExt cx="2705205" cy="2430305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5363306"/>
            <a:ext cx="1285505" cy="2370996"/>
            <a:chOff x="4881355" y="5954564"/>
            <a:chExt cx="697966" cy="2199355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CxnSpPr/>
          </xdr:nvCxnSpPr>
          <xdr:spPr>
            <a:xfrm flipH="1">
              <a:off x="5576505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>
          <a:xfrm>
            <a:off x="5766594" y="5358458"/>
            <a:ext cx="1421704" cy="627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CxnSpPr/>
        </xdr:nvCxnSpPr>
        <xdr:spPr>
          <a:xfrm flipH="1" flipV="1">
            <a:off x="7186552" y="5303997"/>
            <a:ext cx="702" cy="5691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713356</xdr:colOff>
      <xdr:row>40</xdr:row>
      <xdr:rowOff>141862</xdr:rowOff>
    </xdr:from>
    <xdr:to>
      <xdr:col>8</xdr:col>
      <xdr:colOff>340463</xdr:colOff>
      <xdr:row>48</xdr:row>
      <xdr:rowOff>160573</xdr:rowOff>
    </xdr:to>
    <xdr:grpSp>
      <xdr:nvGrpSpPr>
        <xdr:cNvPr id="20" name="Gruppier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pSpPr/>
      </xdr:nvGrpSpPr>
      <xdr:grpSpPr>
        <a:xfrm>
          <a:off x="6742681" y="4980562"/>
          <a:ext cx="608182" cy="1209336"/>
          <a:chOff x="6726961" y="5962264"/>
          <a:chExt cx="607293" cy="1325211"/>
        </a:xfrm>
      </xdr:grpSpPr>
      <xdr:cxnSp macro="">
        <xdr:nvCxnSpPr>
          <xdr:cNvPr id="21" name="Gerader Verbinder 13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CxnSpPr/>
        </xdr:nvCxnSpPr>
        <xdr:spPr>
          <a:xfrm rot="16200000" flipV="1">
            <a:off x="6753792" y="6719468"/>
            <a:ext cx="1031696" cy="104318"/>
          </a:xfrm>
          <a:prstGeom prst="bentConnector3">
            <a:avLst>
              <a:gd name="adj1" fmla="val 5268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Verbinder: gewinkelt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CxnSpPr/>
        </xdr:nvCxnSpPr>
        <xdr:spPr>
          <a:xfrm rot="16200000" flipV="1">
            <a:off x="6644183" y="6045042"/>
            <a:ext cx="293512" cy="127956"/>
          </a:xfrm>
          <a:prstGeom prst="bentConnector3">
            <a:avLst>
              <a:gd name="adj1" fmla="val 3185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Gerader Verbinder 13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CxnSpPr/>
        </xdr:nvCxnSpPr>
        <xdr:spPr>
          <a:xfrm rot="5400000" flipH="1" flipV="1">
            <a:off x="6282220" y="6707414"/>
            <a:ext cx="1033545" cy="111839"/>
          </a:xfrm>
          <a:prstGeom prst="bentConnector3">
            <a:avLst>
              <a:gd name="adj1" fmla="val 5208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Verbinder: gewinkelt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CxnSpPr/>
        </xdr:nvCxnSpPr>
        <xdr:spPr>
          <a:xfrm rot="5400000" flipH="1" flipV="1">
            <a:off x="7129410" y="6055850"/>
            <a:ext cx="293992" cy="115696"/>
          </a:xfrm>
          <a:prstGeom prst="bentConnector3">
            <a:avLst>
              <a:gd name="adj1" fmla="val 3188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21505" name="Scroll Bar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21506" name="Scroll Bar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4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21507" name="Scroll Bar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4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21508" name="Scroll Bar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4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21509" name="Scroll Bar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4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21510" name="Scroll Bar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4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21511" name="Scroll Bar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4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6350</xdr:colOff>
      <xdr:row>35</xdr:row>
      <xdr:rowOff>152400</xdr:rowOff>
    </xdr:from>
    <xdr:to>
      <xdr:col>8</xdr:col>
      <xdr:colOff>762000</xdr:colOff>
      <xdr:row>54</xdr:row>
      <xdr:rowOff>95230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435475" y="4410075"/>
          <a:ext cx="3336925" cy="2352655"/>
          <a:chOff x="4483093" y="5303997"/>
          <a:chExt cx="3053457" cy="2430305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5363306"/>
            <a:ext cx="1285505" cy="2370996"/>
            <a:chOff x="4881355" y="5954564"/>
            <a:chExt cx="697966" cy="2199355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CxnSpPr/>
          </xdr:nvCxnSpPr>
          <xdr:spPr>
            <a:xfrm flipH="1">
              <a:off x="5576505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CxnSpPr/>
        </xdr:nvCxnSpPr>
        <xdr:spPr>
          <a:xfrm>
            <a:off x="5766594" y="5358458"/>
            <a:ext cx="1769956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CxnSpPr/>
        </xdr:nvCxnSpPr>
        <xdr:spPr>
          <a:xfrm flipH="1" flipV="1">
            <a:off x="7534804" y="5303997"/>
            <a:ext cx="702" cy="5691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704850</xdr:colOff>
      <xdr:row>40</xdr:row>
      <xdr:rowOff>119742</xdr:rowOff>
    </xdr:from>
    <xdr:to>
      <xdr:col>8</xdr:col>
      <xdr:colOff>350060</xdr:colOff>
      <xdr:row>49</xdr:row>
      <xdr:rowOff>8171</xdr:rowOff>
    </xdr:to>
    <xdr:grpSp>
      <xdr:nvGrpSpPr>
        <xdr:cNvPr id="22" name="Gruppieren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GrpSpPr/>
      </xdr:nvGrpSpPr>
      <xdr:grpSpPr>
        <a:xfrm>
          <a:off x="6734175" y="4958442"/>
          <a:ext cx="626285" cy="1240979"/>
          <a:chOff x="6712115" y="5930784"/>
          <a:chExt cx="625375" cy="1356691"/>
        </a:xfrm>
      </xdr:grpSpPr>
      <xdr:cxnSp macro="">
        <xdr:nvCxnSpPr>
          <xdr:cNvPr id="23" name="Gerader Verbinder 13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CxnSpPr/>
        </xdr:nvCxnSpPr>
        <xdr:spPr>
          <a:xfrm rot="16200000" flipV="1">
            <a:off x="6753792" y="6719468"/>
            <a:ext cx="1031696" cy="104318"/>
          </a:xfrm>
          <a:prstGeom prst="bentConnector3">
            <a:avLst>
              <a:gd name="adj1" fmla="val 5268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Verbinder: gewinkelt 23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CxnSpPr/>
        </xdr:nvCxnSpPr>
        <xdr:spPr>
          <a:xfrm rot="16200000" flipV="1">
            <a:off x="6621019" y="6021880"/>
            <a:ext cx="324993" cy="142802"/>
          </a:xfrm>
          <a:prstGeom prst="bentConnector3">
            <a:avLst>
              <a:gd name="adj1" fmla="val 3158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Gerader Verbinder 13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CxnSpPr/>
        </xdr:nvCxnSpPr>
        <xdr:spPr>
          <a:xfrm rot="5400000" flipH="1" flipV="1">
            <a:off x="6282220" y="6707414"/>
            <a:ext cx="1033545" cy="111839"/>
          </a:xfrm>
          <a:prstGeom prst="bentConnector3">
            <a:avLst>
              <a:gd name="adj1" fmla="val 5208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Verbinder: gewinkelt 25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CxnSpPr/>
        </xdr:nvCxnSpPr>
        <xdr:spPr>
          <a:xfrm rot="5400000" flipH="1" flipV="1">
            <a:off x="7117862" y="6041065"/>
            <a:ext cx="320324" cy="118932"/>
          </a:xfrm>
          <a:prstGeom prst="bentConnector3">
            <a:avLst>
              <a:gd name="adj1" fmla="val 3355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59121</xdr:colOff>
      <xdr:row>68</xdr:row>
      <xdr:rowOff>76200</xdr:rowOff>
    </xdr:from>
    <xdr:to>
      <xdr:col>6</xdr:col>
      <xdr:colOff>217871</xdr:colOff>
      <xdr:row>69</xdr:row>
      <xdr:rowOff>82550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5535996" y="8753475"/>
          <a:ext cx="158750" cy="168275"/>
          <a:chOff x="5478517" y="8832631"/>
          <a:chExt cx="158750" cy="170574"/>
        </a:xfrm>
      </xdr:grpSpPr>
      <xdr:cxnSp macro="">
        <xdr:nvCxnSpPr>
          <xdr:cNvPr id="11" name="Gerade Verbindung mit Pfeil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CxnSpPr/>
        </xdr:nvCxnSpPr>
        <xdr:spPr>
          <a:xfrm flipH="1">
            <a:off x="5478517" y="8832631"/>
            <a:ext cx="15875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Gerade Verbindung mit Pfeil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CxnSpPr/>
        </xdr:nvCxnSpPr>
        <xdr:spPr>
          <a:xfrm flipH="1">
            <a:off x="5478517" y="9003205"/>
            <a:ext cx="15875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22529" name="Scroll Bar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22530" name="Scroll Bar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5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22531" name="Scroll Bar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5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22532" name="Scroll Bar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22533" name="Scroll Bar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22534" name="Scroll Bar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5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22535" name="Scroll Bar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5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6350</xdr:colOff>
      <xdr:row>35</xdr:row>
      <xdr:rowOff>152400</xdr:rowOff>
    </xdr:from>
    <xdr:to>
      <xdr:col>8</xdr:col>
      <xdr:colOff>789214</xdr:colOff>
      <xdr:row>54</xdr:row>
      <xdr:rowOff>95230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4435475" y="4410075"/>
          <a:ext cx="3364139" cy="2352655"/>
          <a:chOff x="4483093" y="5303997"/>
          <a:chExt cx="2868822" cy="2430305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5363306"/>
            <a:ext cx="1285505" cy="2370996"/>
            <a:chOff x="4881355" y="5954564"/>
            <a:chExt cx="697966" cy="2199355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CxnSpPr/>
          </xdr:nvCxnSpPr>
          <xdr:spPr>
            <a:xfrm flipH="1">
              <a:off x="5576505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/>
        </xdr:nvCxnSpPr>
        <xdr:spPr>
          <a:xfrm>
            <a:off x="5766594" y="5358458"/>
            <a:ext cx="1585321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>
          <a:xfrm flipH="1" flipV="1">
            <a:off x="7348826" y="5303997"/>
            <a:ext cx="702" cy="5691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702866</xdr:colOff>
      <xdr:row>40</xdr:row>
      <xdr:rowOff>125016</xdr:rowOff>
    </xdr:from>
    <xdr:to>
      <xdr:col>8</xdr:col>
      <xdr:colOff>350061</xdr:colOff>
      <xdr:row>49</xdr:row>
      <xdr:rowOff>21395</xdr:rowOff>
    </xdr:to>
    <xdr:grpSp>
      <xdr:nvGrpSpPr>
        <xdr:cNvPr id="27" name="Gruppieren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GrpSpPr/>
      </xdr:nvGrpSpPr>
      <xdr:grpSpPr>
        <a:xfrm>
          <a:off x="6732191" y="4963716"/>
          <a:ext cx="628270" cy="1248929"/>
          <a:chOff x="6712115" y="5930784"/>
          <a:chExt cx="625375" cy="1356691"/>
        </a:xfrm>
      </xdr:grpSpPr>
      <xdr:cxnSp macro="">
        <xdr:nvCxnSpPr>
          <xdr:cNvPr id="28" name="Gerader Verbinder 13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CxnSpPr/>
        </xdr:nvCxnSpPr>
        <xdr:spPr>
          <a:xfrm rot="16200000" flipV="1">
            <a:off x="6753792" y="6719468"/>
            <a:ext cx="1031696" cy="104318"/>
          </a:xfrm>
          <a:prstGeom prst="bentConnector3">
            <a:avLst>
              <a:gd name="adj1" fmla="val 5268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Verbinder: gewinkelt 28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CxnSpPr/>
        </xdr:nvCxnSpPr>
        <xdr:spPr>
          <a:xfrm rot="16200000" flipV="1">
            <a:off x="6621019" y="6021880"/>
            <a:ext cx="324993" cy="142802"/>
          </a:xfrm>
          <a:prstGeom prst="bentConnector3">
            <a:avLst>
              <a:gd name="adj1" fmla="val 3404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" name="Gerader Verbinder 13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CxnSpPr/>
        </xdr:nvCxnSpPr>
        <xdr:spPr>
          <a:xfrm rot="5400000" flipH="1" flipV="1">
            <a:off x="6282220" y="6707414"/>
            <a:ext cx="1033545" cy="111839"/>
          </a:xfrm>
          <a:prstGeom prst="bentConnector3">
            <a:avLst>
              <a:gd name="adj1" fmla="val 5208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Verbinder: gewinkelt 30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CxnSpPr/>
        </xdr:nvCxnSpPr>
        <xdr:spPr>
          <a:xfrm rot="5400000" flipH="1" flipV="1">
            <a:off x="7117862" y="6041065"/>
            <a:ext cx="320324" cy="118932"/>
          </a:xfrm>
          <a:prstGeom prst="bentConnector3">
            <a:avLst>
              <a:gd name="adj1" fmla="val 3605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23553" name="Scroll Bar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6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23554" name="Scroll Bar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23555" name="Scroll Bar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6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23556" name="Scroll Bar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6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23557" name="Scroll Bar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6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23558" name="Scroll Bar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6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23559" name="Scroll Bar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6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6350</xdr:colOff>
      <xdr:row>35</xdr:row>
      <xdr:rowOff>152400</xdr:rowOff>
    </xdr:from>
    <xdr:to>
      <xdr:col>8</xdr:col>
      <xdr:colOff>747703</xdr:colOff>
      <xdr:row>54</xdr:row>
      <xdr:rowOff>95230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4435475" y="4410075"/>
          <a:ext cx="3322628" cy="2352655"/>
          <a:chOff x="4483093" y="5303997"/>
          <a:chExt cx="2833507" cy="2430305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5363306"/>
            <a:ext cx="1285505" cy="2370996"/>
            <a:chOff x="4881355" y="5954564"/>
            <a:chExt cx="697966" cy="2199355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CxnSpPr/>
          </xdr:nvCxnSpPr>
          <xdr:spPr>
            <a:xfrm flipH="1">
              <a:off x="5576505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CxnSpPr/>
        </xdr:nvCxnSpPr>
        <xdr:spPr>
          <a:xfrm>
            <a:off x="5766594" y="5358458"/>
            <a:ext cx="1549937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/>
        </xdr:nvCxnSpPr>
        <xdr:spPr>
          <a:xfrm flipH="1" flipV="1">
            <a:off x="7315898" y="5303997"/>
            <a:ext cx="702" cy="5691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695611</xdr:colOff>
      <xdr:row>40</xdr:row>
      <xdr:rowOff>105383</xdr:rowOff>
    </xdr:from>
    <xdr:to>
      <xdr:col>8</xdr:col>
      <xdr:colOff>340821</xdr:colOff>
      <xdr:row>49</xdr:row>
      <xdr:rowOff>750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pSpPr/>
      </xdr:nvGrpSpPr>
      <xdr:grpSpPr>
        <a:xfrm>
          <a:off x="6724936" y="4944083"/>
          <a:ext cx="626285" cy="1247917"/>
          <a:chOff x="6712115" y="5930784"/>
          <a:chExt cx="625375" cy="1356691"/>
        </a:xfrm>
      </xdr:grpSpPr>
      <xdr:cxnSp macro="">
        <xdr:nvCxnSpPr>
          <xdr:cNvPr id="9" name="Gerader Verbinder 13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CxnSpPr/>
        </xdr:nvCxnSpPr>
        <xdr:spPr>
          <a:xfrm rot="16200000" flipV="1">
            <a:off x="6753792" y="6719468"/>
            <a:ext cx="1031696" cy="104318"/>
          </a:xfrm>
          <a:prstGeom prst="bentConnector3">
            <a:avLst>
              <a:gd name="adj1" fmla="val 5268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Verbinder: gewinkelt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CxnSpPr/>
        </xdr:nvCxnSpPr>
        <xdr:spPr>
          <a:xfrm rot="16200000" flipV="1">
            <a:off x="6621019" y="6021880"/>
            <a:ext cx="324993" cy="142802"/>
          </a:xfrm>
          <a:prstGeom prst="bentConnector3">
            <a:avLst>
              <a:gd name="adj1" fmla="val 2706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Gerader Verbinder 13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CxnSpPr/>
        </xdr:nvCxnSpPr>
        <xdr:spPr>
          <a:xfrm rot="5400000" flipH="1" flipV="1">
            <a:off x="6282220" y="6707414"/>
            <a:ext cx="1033545" cy="111839"/>
          </a:xfrm>
          <a:prstGeom prst="bentConnector3">
            <a:avLst>
              <a:gd name="adj1" fmla="val 5208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Verbinder: gewinkelt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CxnSpPr/>
        </xdr:nvCxnSpPr>
        <xdr:spPr>
          <a:xfrm rot="5400000" flipH="1" flipV="1">
            <a:off x="7117862" y="6041065"/>
            <a:ext cx="320324" cy="118932"/>
          </a:xfrm>
          <a:prstGeom prst="bentConnector3">
            <a:avLst>
              <a:gd name="adj1" fmla="val 2760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10" Type="http://schemas.openxmlformats.org/officeDocument/2006/relationships/ctrlProp" Target="../ctrlProps/ctrlProp28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tabColor theme="5" tint="0.39997558519241921"/>
  </sheetPr>
  <dimension ref="A1:K71"/>
  <sheetViews>
    <sheetView showGridLines="0" tabSelected="1" zoomScaleNormal="100" zoomScaleSheetLayoutView="85" zoomScalePageLayoutView="85" workbookViewId="0">
      <selection activeCell="I62" sqref="I62"/>
    </sheetView>
  </sheetViews>
  <sheetFormatPr baseColWidth="10" defaultColWidth="11.5703125" defaultRowHeight="15" x14ac:dyDescent="0.25"/>
  <cols>
    <col min="1" max="1" width="1.5703125" style="6" customWidth="1"/>
    <col min="2" max="2" width="3.28515625" style="6" customWidth="1"/>
    <col min="3" max="3" width="38.7109375" style="1" customWidth="1"/>
    <col min="4" max="4" width="10.140625" style="1" customWidth="1"/>
    <col min="5" max="5" width="13.7109375" style="1" customWidth="1"/>
    <col min="6" max="6" width="14.7109375" style="1" customWidth="1"/>
    <col min="7" max="7" width="8.28515625" style="1" customWidth="1"/>
    <col min="8" max="8" width="14.7109375" style="1" customWidth="1"/>
    <col min="9" max="9" width="15.7109375" style="8" customWidth="1"/>
    <col min="10" max="10" width="1.85546875" customWidth="1"/>
    <col min="12" max="16384" width="11.5703125" style="1"/>
  </cols>
  <sheetData>
    <row r="1" spans="1:11" ht="5.0999999999999996" customHeight="1" x14ac:dyDescent="0.2">
      <c r="I1" s="7"/>
      <c r="J1" s="8"/>
      <c r="K1" s="1"/>
    </row>
    <row r="2" spans="1:11" s="32" customFormat="1" ht="35.1" customHeight="1" x14ac:dyDescent="0.2">
      <c r="A2" s="79" t="s">
        <v>62</v>
      </c>
      <c r="B2" s="6"/>
      <c r="E2" s="33"/>
      <c r="F2" s="33"/>
      <c r="G2" s="33"/>
      <c r="H2" s="267" t="s">
        <v>106</v>
      </c>
      <c r="I2" s="267"/>
      <c r="J2" s="35"/>
    </row>
    <row r="3" spans="1:11" s="9" customFormat="1" ht="6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2"/>
    </row>
    <row r="4" spans="1:11" s="9" customFormat="1" ht="6" customHeight="1" x14ac:dyDescent="0.25">
      <c r="J4" s="2"/>
    </row>
    <row r="5" spans="1:11" s="9" customFormat="1" ht="12.95" customHeight="1" x14ac:dyDescent="0.25">
      <c r="D5" s="129"/>
      <c r="H5" s="129" t="s">
        <v>55</v>
      </c>
      <c r="I5" s="130" t="s">
        <v>44</v>
      </c>
      <c r="J5" s="26"/>
    </row>
    <row r="6" spans="1:11" s="9" customFormat="1" ht="6" customHeight="1" x14ac:dyDescent="0.25">
      <c r="I6" s="55"/>
      <c r="J6" s="2"/>
    </row>
    <row r="7" spans="1:11" s="10" customFormat="1" ht="12.95" customHeight="1" x14ac:dyDescent="0.2">
      <c r="A7" s="269">
        <v>1</v>
      </c>
      <c r="B7" s="269"/>
      <c r="C7" s="61" t="s">
        <v>0</v>
      </c>
      <c r="D7" s="132"/>
      <c r="E7" s="131"/>
      <c r="F7" s="131"/>
      <c r="G7" s="131"/>
      <c r="H7" s="132">
        <f>I7/$I$38</f>
        <v>2.9999999999999997E-4</v>
      </c>
      <c r="I7" s="233">
        <v>10000</v>
      </c>
      <c r="J7" s="29"/>
    </row>
    <row r="8" spans="1:11" ht="6.95" customHeight="1" x14ac:dyDescent="0.2">
      <c r="A8" s="3"/>
      <c r="B8" s="5"/>
      <c r="D8" s="7"/>
      <c r="E8" s="133"/>
      <c r="F8" s="133"/>
      <c r="G8" s="133"/>
      <c r="H8" s="7"/>
      <c r="I8" s="234"/>
      <c r="J8" s="36"/>
      <c r="K8" s="1"/>
    </row>
    <row r="9" spans="1:11" s="10" customFormat="1" ht="12.95" customHeight="1" x14ac:dyDescent="0.2">
      <c r="A9" s="265">
        <v>2</v>
      </c>
      <c r="B9" s="265"/>
      <c r="C9" s="61" t="s">
        <v>1</v>
      </c>
      <c r="D9" s="132"/>
      <c r="E9" s="131"/>
      <c r="F9" s="131"/>
      <c r="G9" s="131"/>
      <c r="H9" s="132">
        <f>I9/$I$38</f>
        <v>0.30509999999999998</v>
      </c>
      <c r="I9" s="204">
        <v>9000000</v>
      </c>
      <c r="J9" s="29"/>
    </row>
    <row r="10" spans="1:11" ht="6.95" customHeight="1" x14ac:dyDescent="0.2">
      <c r="D10" s="7"/>
      <c r="E10" s="133"/>
      <c r="F10" s="133"/>
      <c r="G10" s="133"/>
      <c r="H10" s="7"/>
      <c r="I10" s="234"/>
      <c r="J10" s="29"/>
      <c r="K10" s="1"/>
    </row>
    <row r="11" spans="1:11" s="9" customFormat="1" ht="12.95" customHeight="1" x14ac:dyDescent="0.2">
      <c r="A11" s="265">
        <v>3</v>
      </c>
      <c r="B11" s="265"/>
      <c r="C11" s="61" t="s">
        <v>7</v>
      </c>
      <c r="D11" s="132"/>
      <c r="E11" s="131"/>
      <c r="F11" s="131"/>
      <c r="G11" s="131"/>
      <c r="H11" s="132">
        <f>I11/$I$38</f>
        <v>0.19320000000000001</v>
      </c>
      <c r="I11" s="235">
        <f>SUM(I12:I19)</f>
        <v>5700000</v>
      </c>
      <c r="J11" s="29"/>
    </row>
    <row r="12" spans="1:11" ht="12.95" customHeight="1" x14ac:dyDescent="0.2">
      <c r="A12" s="62">
        <v>3</v>
      </c>
      <c r="B12" s="63" t="s">
        <v>17</v>
      </c>
      <c r="C12" s="64" t="s">
        <v>18</v>
      </c>
      <c r="D12" s="135"/>
      <c r="E12" s="134"/>
      <c r="F12" s="134"/>
      <c r="G12" s="134"/>
      <c r="H12" s="135"/>
      <c r="I12" s="196">
        <v>900000</v>
      </c>
      <c r="J12" s="29"/>
      <c r="K12" s="1"/>
    </row>
    <row r="13" spans="1:11" ht="12.95" customHeight="1" x14ac:dyDescent="0.2">
      <c r="A13" s="65">
        <v>3</v>
      </c>
      <c r="B13" s="66" t="s">
        <v>19</v>
      </c>
      <c r="C13" s="67" t="s">
        <v>26</v>
      </c>
      <c r="D13" s="137"/>
      <c r="E13" s="136"/>
      <c r="F13" s="136"/>
      <c r="G13" s="136"/>
      <c r="H13" s="137"/>
      <c r="I13" s="196">
        <v>1200000</v>
      </c>
      <c r="J13" s="29"/>
      <c r="K13" s="1"/>
    </row>
    <row r="14" spans="1:11" ht="12.95" customHeight="1" x14ac:dyDescent="0.2">
      <c r="A14" s="65">
        <v>3</v>
      </c>
      <c r="B14" s="66" t="s">
        <v>20</v>
      </c>
      <c r="C14" s="67" t="s">
        <v>27</v>
      </c>
      <c r="D14" s="137"/>
      <c r="E14" s="136"/>
      <c r="F14" s="136"/>
      <c r="G14" s="136"/>
      <c r="H14" s="137"/>
      <c r="I14" s="196">
        <v>1000000</v>
      </c>
      <c r="J14" s="29"/>
      <c r="K14" s="1"/>
    </row>
    <row r="15" spans="1:11" ht="12.95" customHeight="1" x14ac:dyDescent="0.2">
      <c r="A15" s="65">
        <v>3</v>
      </c>
      <c r="B15" s="66" t="s">
        <v>21</v>
      </c>
      <c r="C15" s="67" t="s">
        <v>28</v>
      </c>
      <c r="D15" s="137"/>
      <c r="E15" s="136"/>
      <c r="F15" s="136"/>
      <c r="G15" s="136"/>
      <c r="H15" s="137"/>
      <c r="I15" s="196">
        <v>1500000</v>
      </c>
      <c r="J15" s="29"/>
      <c r="K15" s="1"/>
    </row>
    <row r="16" spans="1:11" ht="12.95" customHeight="1" x14ac:dyDescent="0.2">
      <c r="A16" s="65">
        <v>3</v>
      </c>
      <c r="B16" s="66" t="s">
        <v>22</v>
      </c>
      <c r="C16" s="67" t="s">
        <v>31</v>
      </c>
      <c r="D16" s="137"/>
      <c r="E16" s="136"/>
      <c r="F16" s="136"/>
      <c r="G16" s="136"/>
      <c r="H16" s="137"/>
      <c r="I16" s="196">
        <v>600000</v>
      </c>
      <c r="J16" s="29"/>
      <c r="K16" s="1"/>
    </row>
    <row r="17" spans="1:11" ht="12.95" customHeight="1" x14ac:dyDescent="0.2">
      <c r="A17" s="65">
        <v>3</v>
      </c>
      <c r="B17" s="66" t="s">
        <v>23</v>
      </c>
      <c r="C17" s="67" t="s">
        <v>29</v>
      </c>
      <c r="D17" s="137"/>
      <c r="E17" s="136"/>
      <c r="F17" s="136"/>
      <c r="G17" s="136"/>
      <c r="H17" s="137"/>
      <c r="I17" s="196">
        <v>150000</v>
      </c>
      <c r="J17" s="29"/>
      <c r="K17" s="1"/>
    </row>
    <row r="18" spans="1:11" ht="12.95" customHeight="1" x14ac:dyDescent="0.2">
      <c r="A18" s="65">
        <v>3</v>
      </c>
      <c r="B18" s="66" t="s">
        <v>24</v>
      </c>
      <c r="C18" s="67" t="s">
        <v>30</v>
      </c>
      <c r="D18" s="137"/>
      <c r="E18" s="136"/>
      <c r="F18" s="136"/>
      <c r="G18" s="136"/>
      <c r="H18" s="137"/>
      <c r="I18" s="196">
        <v>50000</v>
      </c>
      <c r="J18" s="29"/>
      <c r="K18" s="1"/>
    </row>
    <row r="19" spans="1:11" ht="12.95" customHeight="1" x14ac:dyDescent="0.2">
      <c r="A19" s="65">
        <v>3</v>
      </c>
      <c r="B19" s="66" t="s">
        <v>25</v>
      </c>
      <c r="C19" s="67" t="s">
        <v>8</v>
      </c>
      <c r="D19" s="137"/>
      <c r="E19" s="136"/>
      <c r="F19" s="136"/>
      <c r="G19" s="136"/>
      <c r="H19" s="137"/>
      <c r="I19" s="196">
        <v>300000</v>
      </c>
      <c r="J19" s="29"/>
      <c r="K19" s="1"/>
    </row>
    <row r="20" spans="1:11" ht="6.95" customHeight="1" x14ac:dyDescent="0.2">
      <c r="D20" s="7"/>
      <c r="E20" s="133"/>
      <c r="F20" s="133"/>
      <c r="G20" s="133"/>
      <c r="H20" s="7"/>
      <c r="I20" s="234"/>
      <c r="J20" s="138"/>
      <c r="K20" s="1"/>
    </row>
    <row r="21" spans="1:11" s="9" customFormat="1" ht="12.75" customHeight="1" x14ac:dyDescent="0.2">
      <c r="A21" s="265">
        <v>4</v>
      </c>
      <c r="B21" s="265"/>
      <c r="C21" s="61" t="s">
        <v>2</v>
      </c>
      <c r="D21" s="132"/>
      <c r="E21" s="131"/>
      <c r="F21" s="131"/>
      <c r="G21" s="131"/>
      <c r="H21" s="132">
        <f>I21/$I$38</f>
        <v>0.2034</v>
      </c>
      <c r="I21" s="204">
        <v>6000000</v>
      </c>
      <c r="J21" s="29"/>
    </row>
    <row r="22" spans="1:11" ht="6.95" customHeight="1" x14ac:dyDescent="0.2">
      <c r="A22" s="3"/>
      <c r="B22" s="5"/>
      <c r="D22" s="7"/>
      <c r="E22" s="133"/>
      <c r="F22" s="133"/>
      <c r="G22" s="133"/>
      <c r="H22" s="7"/>
      <c r="I22" s="234"/>
      <c r="J22" s="28"/>
      <c r="K22" s="1"/>
    </row>
    <row r="23" spans="1:11" s="10" customFormat="1" ht="12.95" customHeight="1" x14ac:dyDescent="0.2">
      <c r="A23" s="265">
        <v>5</v>
      </c>
      <c r="B23" s="265"/>
      <c r="C23" s="61" t="s">
        <v>9</v>
      </c>
      <c r="D23" s="132"/>
      <c r="E23" s="131"/>
      <c r="F23" s="131"/>
      <c r="G23" s="131"/>
      <c r="H23" s="132">
        <f>I23/$I$38</f>
        <v>5.5899999999999998E-2</v>
      </c>
      <c r="I23" s="235">
        <f>SUM(I24:I26)</f>
        <v>1650000</v>
      </c>
      <c r="J23" s="29"/>
    </row>
    <row r="24" spans="1:11" ht="12.95" customHeight="1" x14ac:dyDescent="0.2">
      <c r="A24" s="65">
        <v>5</v>
      </c>
      <c r="B24" s="67" t="s">
        <v>17</v>
      </c>
      <c r="C24" s="67" t="s">
        <v>72</v>
      </c>
      <c r="D24" s="137"/>
      <c r="E24" s="136"/>
      <c r="F24" s="136"/>
      <c r="G24" s="136"/>
      <c r="H24" s="137"/>
      <c r="I24" s="196">
        <v>600000</v>
      </c>
      <c r="J24" s="29"/>
      <c r="K24" s="1"/>
    </row>
    <row r="25" spans="1:11" ht="12.95" customHeight="1" x14ac:dyDescent="0.2">
      <c r="A25" s="65">
        <v>5</v>
      </c>
      <c r="B25" s="67" t="s">
        <v>19</v>
      </c>
      <c r="C25" s="67" t="s">
        <v>73</v>
      </c>
      <c r="D25" s="137"/>
      <c r="E25" s="136"/>
      <c r="F25" s="136"/>
      <c r="G25" s="136"/>
      <c r="H25" s="137"/>
      <c r="I25" s="196">
        <v>1000000</v>
      </c>
      <c r="J25" s="29"/>
      <c r="K25" s="1"/>
    </row>
    <row r="26" spans="1:11" ht="12.95" customHeight="1" x14ac:dyDescent="0.2">
      <c r="A26" s="65">
        <v>5</v>
      </c>
      <c r="B26" s="67" t="s">
        <v>20</v>
      </c>
      <c r="C26" s="67" t="s">
        <v>46</v>
      </c>
      <c r="D26" s="137"/>
      <c r="E26" s="136"/>
      <c r="F26" s="136"/>
      <c r="G26" s="136"/>
      <c r="H26" s="137"/>
      <c r="I26" s="196">
        <v>50000</v>
      </c>
      <c r="J26" s="29"/>
      <c r="K26" s="1"/>
    </row>
    <row r="27" spans="1:11" ht="6.95" customHeight="1" x14ac:dyDescent="0.2">
      <c r="D27" s="7"/>
      <c r="E27" s="133"/>
      <c r="F27" s="133"/>
      <c r="G27" s="133"/>
      <c r="H27" s="7"/>
      <c r="I27" s="234"/>
      <c r="J27" s="29"/>
      <c r="K27" s="1"/>
    </row>
    <row r="28" spans="1:11" s="9" customFormat="1" ht="12.95" customHeight="1" x14ac:dyDescent="0.2">
      <c r="A28" s="265">
        <v>6</v>
      </c>
      <c r="B28" s="265"/>
      <c r="C28" s="61" t="s">
        <v>3</v>
      </c>
      <c r="D28" s="132"/>
      <c r="E28" s="131"/>
      <c r="F28" s="131"/>
      <c r="G28" s="131"/>
      <c r="H28" s="132">
        <f>I28/$I$38</f>
        <v>1.6899999999999998E-2</v>
      </c>
      <c r="I28" s="204">
        <v>500000</v>
      </c>
      <c r="J28" s="29"/>
    </row>
    <row r="29" spans="1:11" ht="6.95" customHeight="1" x14ac:dyDescent="0.2">
      <c r="A29" s="12"/>
      <c r="B29" s="4"/>
      <c r="D29" s="140"/>
      <c r="E29" s="139"/>
      <c r="F29" s="139"/>
      <c r="G29" s="139"/>
      <c r="H29" s="140"/>
      <c r="I29" s="234"/>
      <c r="J29" s="29"/>
      <c r="K29" s="1"/>
    </row>
    <row r="30" spans="1:11" s="10" customFormat="1" ht="12.95" customHeight="1" x14ac:dyDescent="0.2">
      <c r="A30" s="265">
        <v>7</v>
      </c>
      <c r="B30" s="265"/>
      <c r="C30" s="61" t="s">
        <v>63</v>
      </c>
      <c r="D30" s="132"/>
      <c r="E30" s="131"/>
      <c r="F30" s="131"/>
      <c r="G30" s="131"/>
      <c r="H30" s="132">
        <f>I30/$I$38</f>
        <v>0.16950000000000001</v>
      </c>
      <c r="I30" s="204">
        <v>5000000</v>
      </c>
      <c r="J30" s="29"/>
    </row>
    <row r="31" spans="1:11" ht="6.95" customHeight="1" x14ac:dyDescent="0.2">
      <c r="D31" s="140"/>
      <c r="E31" s="139"/>
      <c r="F31" s="139"/>
      <c r="G31" s="139"/>
      <c r="H31" s="140"/>
      <c r="I31" s="234"/>
      <c r="J31" s="29"/>
      <c r="K31" s="1"/>
    </row>
    <row r="32" spans="1:11" s="10" customFormat="1" ht="12.95" customHeight="1" x14ac:dyDescent="0.2">
      <c r="A32" s="265">
        <v>8</v>
      </c>
      <c r="B32" s="265"/>
      <c r="C32" s="61" t="s">
        <v>84</v>
      </c>
      <c r="D32" s="132"/>
      <c r="E32" s="131"/>
      <c r="F32" s="131"/>
      <c r="G32" s="131"/>
      <c r="H32" s="132">
        <f>I32/$I$38</f>
        <v>1.4E-3</v>
      </c>
      <c r="I32" s="204">
        <v>40000</v>
      </c>
      <c r="J32" s="29"/>
    </row>
    <row r="33" spans="1:11" ht="6.95" customHeight="1" x14ac:dyDescent="0.2">
      <c r="D33" s="140"/>
      <c r="E33" s="139"/>
      <c r="F33" s="139"/>
      <c r="G33" s="139"/>
      <c r="H33" s="140"/>
      <c r="I33" s="234"/>
      <c r="J33" s="138"/>
      <c r="K33" s="1"/>
    </row>
    <row r="34" spans="1:11" s="10" customFormat="1" ht="12.95" customHeight="1" x14ac:dyDescent="0.2">
      <c r="A34" s="265">
        <v>9</v>
      </c>
      <c r="B34" s="265"/>
      <c r="C34" s="61" t="s">
        <v>10</v>
      </c>
      <c r="D34" s="132"/>
      <c r="E34" s="131"/>
      <c r="F34" s="131"/>
      <c r="G34" s="131"/>
      <c r="H34" s="132">
        <f>I34/$I$38</f>
        <v>5.4199999999999998E-2</v>
      </c>
      <c r="I34" s="204">
        <v>1600000</v>
      </c>
      <c r="J34" s="29"/>
    </row>
    <row r="35" spans="1:11" ht="12" customHeight="1" x14ac:dyDescent="0.2">
      <c r="A35" s="12"/>
      <c r="B35" s="4"/>
      <c r="E35" s="27"/>
      <c r="F35" s="27"/>
      <c r="G35" s="27"/>
      <c r="I35" s="28"/>
      <c r="J35" s="1"/>
      <c r="K35" s="1"/>
    </row>
    <row r="36" spans="1:11" ht="15" customHeight="1" x14ac:dyDescent="0.25">
      <c r="A36" s="54" t="s">
        <v>90</v>
      </c>
      <c r="B36" s="51"/>
      <c r="C36" s="51"/>
      <c r="D36" s="180"/>
      <c r="E36" s="57"/>
      <c r="F36" s="57"/>
      <c r="G36" s="57"/>
      <c r="H36" s="180">
        <f>SUM(H9:H21)</f>
        <v>0.70169999999999999</v>
      </c>
      <c r="I36" s="69">
        <f>I9+I11+I21</f>
        <v>20700000</v>
      </c>
    </row>
    <row r="37" spans="1:11" ht="5.0999999999999996" customHeight="1" x14ac:dyDescent="0.25"/>
    <row r="38" spans="1:11" ht="15" customHeight="1" x14ac:dyDescent="0.25">
      <c r="A38" s="54" t="s">
        <v>91</v>
      </c>
      <c r="B38" s="51"/>
      <c r="C38" s="51"/>
      <c r="D38" s="141"/>
      <c r="E38" s="57"/>
      <c r="F38" s="57"/>
      <c r="G38" s="57"/>
      <c r="H38" s="141">
        <f>SUM(H7:H34)</f>
        <v>1</v>
      </c>
      <c r="I38" s="69">
        <f>SUM(I7+I9+I11+I21+I23+I28+I30+I32+I34)</f>
        <v>29500000</v>
      </c>
      <c r="J38" s="18"/>
      <c r="K38" s="1"/>
    </row>
    <row r="39" spans="1:11" ht="8.1" customHeight="1" x14ac:dyDescent="0.25"/>
    <row r="40" spans="1:11" ht="12.75" customHeight="1" x14ac:dyDescent="0.25">
      <c r="A40" s="181"/>
      <c r="B40" s="182" t="s">
        <v>85</v>
      </c>
      <c r="C40" s="183"/>
      <c r="D40" s="131"/>
      <c r="E40" s="131"/>
      <c r="F40" s="131"/>
      <c r="G40" s="131"/>
      <c r="H40" s="131"/>
      <c r="I40" s="241">
        <v>120000</v>
      </c>
      <c r="J40" s="184"/>
    </row>
    <row r="41" spans="1:11" ht="29.25" customHeight="1" x14ac:dyDescent="0.25"/>
    <row r="42" spans="1:11" s="32" customFormat="1" ht="12.75" customHeight="1" x14ac:dyDescent="0.25">
      <c r="A42" s="79" t="s">
        <v>74</v>
      </c>
      <c r="B42" s="6"/>
      <c r="E42" s="33"/>
      <c r="F42" s="33"/>
      <c r="G42" s="33"/>
      <c r="H42" s="33"/>
      <c r="I42" s="35"/>
      <c r="J42" s="142"/>
      <c r="K42" s="142"/>
    </row>
    <row r="43" spans="1:11" s="9" customFormat="1" ht="4.5" customHeight="1" x14ac:dyDescent="0.25">
      <c r="A43" s="58"/>
      <c r="B43" s="58"/>
      <c r="C43" s="58"/>
      <c r="D43" s="58"/>
      <c r="E43" s="58"/>
      <c r="F43" s="58"/>
      <c r="G43" s="58"/>
      <c r="H43" s="58"/>
      <c r="I43" s="59"/>
    </row>
    <row r="44" spans="1:11" s="9" customFormat="1" ht="4.5" customHeight="1" x14ac:dyDescent="0.25">
      <c r="I44" s="2"/>
    </row>
    <row r="45" spans="1:11" s="9" customFormat="1" ht="12.75" customHeight="1" x14ac:dyDescent="0.25">
      <c r="E45" s="236" t="s">
        <v>75</v>
      </c>
      <c r="F45" s="236" t="s">
        <v>64</v>
      </c>
      <c r="H45" s="236"/>
      <c r="I45" s="2"/>
    </row>
    <row r="46" spans="1:11" s="9" customFormat="1" ht="4.5" customHeight="1" x14ac:dyDescent="0.25">
      <c r="E46" s="143"/>
      <c r="I46" s="2"/>
    </row>
    <row r="47" spans="1:11" ht="4.5" customHeight="1" x14ac:dyDescent="0.25">
      <c r="A47" s="3"/>
      <c r="B47" s="5"/>
      <c r="E47" s="7"/>
      <c r="F47" s="144"/>
      <c r="I47" s="83"/>
    </row>
    <row r="48" spans="1:11" ht="4.5" customHeight="1" x14ac:dyDescent="0.25">
      <c r="A48" s="32"/>
      <c r="B48" s="32"/>
      <c r="E48" s="7"/>
      <c r="F48" s="164"/>
      <c r="I48" s="82"/>
    </row>
    <row r="49" spans="1:11" s="149" customFormat="1" ht="12.95" customHeight="1" x14ac:dyDescent="0.2">
      <c r="A49" s="145" t="s">
        <v>81</v>
      </c>
      <c r="B49" s="146"/>
      <c r="C49" s="147"/>
      <c r="D49" s="147"/>
      <c r="E49" s="237">
        <f>I49/$I$36</f>
        <v>1.83E-2</v>
      </c>
      <c r="F49" s="238">
        <f>I49/$I$38</f>
        <v>1.2800000000000001E-2</v>
      </c>
      <c r="G49" s="147"/>
      <c r="H49" s="238"/>
      <c r="I49" s="148">
        <f>TA_SanitärHeizungKlimaLüftung!I89</f>
        <v>378304</v>
      </c>
    </row>
    <row r="50" spans="1:11" ht="4.5" customHeight="1" x14ac:dyDescent="0.25">
      <c r="A50" s="32"/>
      <c r="B50" s="32"/>
      <c r="E50" s="173"/>
      <c r="F50" s="239"/>
      <c r="I50" s="82"/>
    </row>
    <row r="51" spans="1:11" s="149" customFormat="1" ht="12.95" customHeight="1" x14ac:dyDescent="0.2">
      <c r="A51" s="145" t="s">
        <v>82</v>
      </c>
      <c r="B51" s="146"/>
      <c r="C51" s="147"/>
      <c r="D51" s="147"/>
      <c r="E51" s="237">
        <f>I51/$I$36</f>
        <v>1.2999999999999999E-2</v>
      </c>
      <c r="F51" s="238">
        <f>I51/$I$38</f>
        <v>9.1000000000000004E-3</v>
      </c>
      <c r="G51" s="147"/>
      <c r="H51" s="238"/>
      <c r="I51" s="148">
        <f>TA_Elektro!I89</f>
        <v>268877</v>
      </c>
    </row>
    <row r="52" spans="1:11" ht="4.5" customHeight="1" x14ac:dyDescent="0.25">
      <c r="A52" s="32"/>
      <c r="B52" s="32"/>
      <c r="E52" s="173"/>
      <c r="F52" s="239"/>
      <c r="I52" s="82"/>
    </row>
    <row r="53" spans="1:11" s="149" customFormat="1" ht="12.95" customHeight="1" x14ac:dyDescent="0.2">
      <c r="A53" s="145" t="s">
        <v>100</v>
      </c>
      <c r="B53" s="146"/>
      <c r="C53" s="147"/>
      <c r="D53" s="147"/>
      <c r="E53" s="237">
        <f>I53/$I$36</f>
        <v>2.3999999999999998E-3</v>
      </c>
      <c r="F53" s="238">
        <f>I53/$I$38</f>
        <v>1.6999999999999999E-3</v>
      </c>
      <c r="G53" s="147"/>
      <c r="H53" s="238"/>
      <c r="I53" s="148">
        <f>TA_Fördertechnik!I89</f>
        <v>49716</v>
      </c>
    </row>
    <row r="54" spans="1:11" ht="4.5" customHeight="1" x14ac:dyDescent="0.25">
      <c r="A54" s="32"/>
      <c r="B54" s="32"/>
      <c r="E54" s="173"/>
      <c r="F54" s="239"/>
      <c r="I54" s="82"/>
    </row>
    <row r="55" spans="1:11" s="149" customFormat="1" ht="12.95" customHeight="1" x14ac:dyDescent="0.2">
      <c r="A55" s="145" t="s">
        <v>103</v>
      </c>
      <c r="B55" s="146"/>
      <c r="C55" s="147"/>
      <c r="D55" s="147"/>
      <c r="E55" s="237">
        <f>I55/$I$36</f>
        <v>6.9999999999999999E-4</v>
      </c>
      <c r="F55" s="238">
        <f>I55/$I$38</f>
        <v>5.0000000000000001E-4</v>
      </c>
      <c r="G55" s="147"/>
      <c r="H55" s="238"/>
      <c r="I55" s="148">
        <f>'TA_Nutzungsspezifische Anlagen'!I89</f>
        <v>13934</v>
      </c>
    </row>
    <row r="56" spans="1:11" ht="4.5" customHeight="1" x14ac:dyDescent="0.25">
      <c r="A56" s="32"/>
      <c r="B56" s="32"/>
      <c r="E56" s="173"/>
      <c r="F56" s="239"/>
      <c r="I56" s="82"/>
    </row>
    <row r="57" spans="1:11" s="149" customFormat="1" ht="12.95" customHeight="1" x14ac:dyDescent="0.2">
      <c r="A57" s="145" t="s">
        <v>101</v>
      </c>
      <c r="B57" s="146"/>
      <c r="C57" s="147"/>
      <c r="D57" s="147"/>
      <c r="E57" s="237">
        <f>I57/$I$36</f>
        <v>2.8E-3</v>
      </c>
      <c r="F57" s="238">
        <f>I57/$I$38</f>
        <v>2E-3</v>
      </c>
      <c r="G57" s="147"/>
      <c r="H57" s="238"/>
      <c r="I57" s="148">
        <f>TA_Gebäudeautomation!I89</f>
        <v>58187</v>
      </c>
    </row>
    <row r="58" spans="1:11" ht="4.5" customHeight="1" x14ac:dyDescent="0.25">
      <c r="A58" s="32"/>
      <c r="B58" s="32"/>
      <c r="E58" s="7"/>
      <c r="F58" s="173"/>
      <c r="G58" s="239"/>
      <c r="H58" s="240"/>
      <c r="I58" s="82"/>
    </row>
    <row r="59" spans="1:11" ht="12.75" customHeight="1" x14ac:dyDescent="0.25">
      <c r="I59" s="150"/>
    </row>
    <row r="60" spans="1:11" s="19" customFormat="1" ht="12.75" x14ac:dyDescent="0.2">
      <c r="A60" s="73" t="s">
        <v>77</v>
      </c>
      <c r="B60" s="74"/>
      <c r="C60" s="75"/>
      <c r="D60" s="75"/>
      <c r="E60" s="77"/>
      <c r="F60" s="77"/>
      <c r="G60" s="151"/>
      <c r="H60" s="151"/>
      <c r="I60" s="78">
        <f>SUM(I47:I58)</f>
        <v>769018</v>
      </c>
      <c r="J60" s="152"/>
      <c r="K60" s="153"/>
    </row>
    <row r="61" spans="1:11" s="19" customFormat="1" ht="4.5" customHeight="1" x14ac:dyDescent="0.2">
      <c r="A61" s="20"/>
      <c r="B61" s="21"/>
      <c r="C61" s="21"/>
      <c r="D61" s="38"/>
      <c r="E61" s="39"/>
      <c r="F61" s="39"/>
      <c r="G61" s="40"/>
      <c r="H61" s="40"/>
      <c r="I61" s="70"/>
      <c r="K61" s="21"/>
    </row>
    <row r="62" spans="1:11" s="19" customFormat="1" ht="12.75" x14ac:dyDescent="0.2">
      <c r="A62" s="41" t="s">
        <v>13</v>
      </c>
      <c r="B62" s="20"/>
      <c r="C62" s="21"/>
      <c r="D62" s="21"/>
      <c r="E62" s="39"/>
      <c r="F62" s="39"/>
      <c r="G62" s="154"/>
      <c r="H62" s="154"/>
      <c r="I62" s="70">
        <f>TA_SanitärHeizungKlimaLüftung!I91+TA_Elektro!I91+TA_Fördertechnik!I91+'TA_Nutzungsspezifische Anlagen'!I91+TA_Gebäudeautomation!I91</f>
        <v>30760</v>
      </c>
      <c r="J62" s="41"/>
      <c r="K62" s="21"/>
    </row>
    <row r="63" spans="1:11" s="19" customFormat="1" ht="3" customHeight="1" x14ac:dyDescent="0.2">
      <c r="A63" s="42"/>
      <c r="B63" s="43"/>
      <c r="C63" s="44"/>
      <c r="D63" s="44"/>
      <c r="E63" s="48"/>
      <c r="F63" s="48"/>
      <c r="G63" s="155"/>
      <c r="H63" s="155"/>
      <c r="I63" s="72"/>
      <c r="K63" s="21"/>
    </row>
    <row r="64" spans="1:11" s="19" customFormat="1" ht="3" customHeight="1" x14ac:dyDescent="0.2">
      <c r="A64" s="20"/>
      <c r="B64" s="21"/>
      <c r="C64" s="21"/>
      <c r="D64" s="49"/>
      <c r="E64" s="49"/>
      <c r="F64" s="49"/>
      <c r="G64" s="156"/>
      <c r="H64" s="157"/>
      <c r="I64" s="70"/>
      <c r="K64" s="21"/>
    </row>
    <row r="65" spans="1:11" s="19" customFormat="1" ht="12.75" x14ac:dyDescent="0.2">
      <c r="A65" s="45" t="s">
        <v>78</v>
      </c>
      <c r="B65" s="47"/>
      <c r="C65" s="47"/>
      <c r="D65" s="22"/>
      <c r="E65" s="158"/>
      <c r="F65" s="159"/>
      <c r="G65" s="160"/>
      <c r="H65" s="157"/>
      <c r="I65" s="71">
        <f>I60+I62</f>
        <v>799778</v>
      </c>
      <c r="J65" s="45"/>
      <c r="K65" s="47"/>
    </row>
    <row r="66" spans="1:11" s="19" customFormat="1" ht="4.5" customHeight="1" x14ac:dyDescent="0.2">
      <c r="B66" s="47"/>
      <c r="C66" s="47"/>
      <c r="D66" s="22"/>
      <c r="E66" s="22"/>
      <c r="F66" s="22"/>
      <c r="G66" s="120"/>
      <c r="H66" s="40"/>
      <c r="I66" s="71"/>
      <c r="J66" s="45"/>
      <c r="K66" s="47"/>
    </row>
    <row r="67" spans="1:11" s="19" customFormat="1" ht="12.75" x14ac:dyDescent="0.2">
      <c r="A67" s="19" t="s">
        <v>14</v>
      </c>
      <c r="C67" s="21"/>
      <c r="D67" s="22"/>
      <c r="E67" s="22"/>
      <c r="F67" s="22"/>
      <c r="G67" s="23">
        <v>0.2</v>
      </c>
      <c r="H67" s="154"/>
      <c r="I67" s="70">
        <f>ROUND(I65*G67,2)</f>
        <v>159956</v>
      </c>
      <c r="K67" s="23"/>
    </row>
    <row r="68" spans="1:11" s="19" customFormat="1" ht="3" customHeight="1" x14ac:dyDescent="0.2">
      <c r="B68" s="21"/>
      <c r="C68" s="21"/>
      <c r="D68" s="22"/>
      <c r="E68" s="22"/>
      <c r="F68" s="22"/>
      <c r="G68" s="120"/>
      <c r="H68" s="40"/>
      <c r="I68" s="70"/>
      <c r="K68" s="21"/>
    </row>
    <row r="69" spans="1:11" s="19" customFormat="1" ht="12.75" x14ac:dyDescent="0.2">
      <c r="A69" s="121" t="s">
        <v>76</v>
      </c>
      <c r="B69" s="123"/>
      <c r="C69" s="123"/>
      <c r="D69" s="124"/>
      <c r="E69" s="125"/>
      <c r="F69" s="125"/>
      <c r="G69" s="161"/>
      <c r="H69" s="126"/>
      <c r="I69" s="127">
        <f>SUM(I65:I67)</f>
        <v>959734</v>
      </c>
      <c r="J69" s="45"/>
      <c r="K69" s="47"/>
    </row>
    <row r="70" spans="1:11" s="19" customFormat="1" ht="6.95" customHeight="1" x14ac:dyDescent="0.2">
      <c r="B70" s="21"/>
      <c r="C70" s="21"/>
      <c r="D70" s="38"/>
      <c r="E70" s="39"/>
      <c r="F70" s="39"/>
      <c r="G70" s="120"/>
      <c r="H70" s="40"/>
      <c r="I70" s="70"/>
      <c r="K70" s="21"/>
    </row>
    <row r="71" spans="1:11" s="19" customFormat="1" ht="15" customHeight="1" x14ac:dyDescent="0.2">
      <c r="A71" s="162" t="s">
        <v>65</v>
      </c>
      <c r="B71" s="21"/>
      <c r="C71" s="21"/>
      <c r="D71" s="39"/>
      <c r="E71" s="268">
        <f>I65/I38</f>
        <v>2.7111E-2</v>
      </c>
      <c r="F71" s="268"/>
      <c r="G71" s="268"/>
      <c r="H71" s="163"/>
      <c r="I71" s="71"/>
      <c r="J71" s="41"/>
      <c r="K71" s="21"/>
    </row>
  </sheetData>
  <sheetProtection algorithmName="SHA-512" hashValue="FAc3YdqqydDxTWexzhObDtDeLIvcEmGZCBYn6K6UuCTtUo5eykSLzHqVROymnd6m+5OLDDIdb2560ad8qwg0oA==" saltValue="LEUwDSihD2/3JC/NGL7Fow==" spinCount="100000" sheet="1" objects="1" scenarios="1"/>
  <mergeCells count="11">
    <mergeCell ref="H2:I2"/>
    <mergeCell ref="E71:G71"/>
    <mergeCell ref="A7:B7"/>
    <mergeCell ref="A9:B9"/>
    <mergeCell ref="A11:B11"/>
    <mergeCell ref="A21:B21"/>
    <mergeCell ref="A23:B23"/>
    <mergeCell ref="A28:B28"/>
    <mergeCell ref="A30:B30"/>
    <mergeCell ref="A32:B32"/>
    <mergeCell ref="A34:B34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&amp;L&amp;"Arial,Fett"&amp;K01+020Angebot TA | Anlagengruppen aufgegliedert
&amp;"Arial,Standard"nach LM.VM.2023&amp;R&amp;"Arial,Standard"&amp;K01+021Version 1
Stand: 15.09.2023</oddHeader>
    <oddFooter>&amp;L&amp;"Arial,Fett"&amp;K01+029LM.VM.2023&amp;"Arial,Standard"  | &amp;A |  Angebotsformular&amp;R&amp;"Arial,Standard"&amp;K01+029&amp;P/&amp;N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>
    <tabColor theme="5" tint="0.39997558519241921"/>
  </sheetPr>
  <dimension ref="A1:M99"/>
  <sheetViews>
    <sheetView showGridLines="0" zoomScaleNormal="100" zoomScaleSheetLayoutView="85" zoomScalePageLayoutView="70" workbookViewId="0">
      <selection activeCell="M68" sqref="M68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0" width="2.7109375" style="8" customWidth="1"/>
    <col min="11" max="16384" width="11.5703125" style="1"/>
  </cols>
  <sheetData>
    <row r="1" spans="1:10" ht="5.0999999999999996" customHeight="1" x14ac:dyDescent="0.2"/>
    <row r="2" spans="1:10" s="32" customFormat="1" ht="23.25" customHeight="1" x14ac:dyDescent="0.2">
      <c r="A2" s="79" t="s">
        <v>60</v>
      </c>
      <c r="E2" s="33"/>
      <c r="F2" s="33"/>
      <c r="G2" s="33"/>
      <c r="H2" s="267" t="s">
        <v>89</v>
      </c>
      <c r="I2" s="267"/>
      <c r="J2" s="35"/>
    </row>
    <row r="3" spans="1:10" s="9" customFormat="1" ht="2.1" customHeight="1" x14ac:dyDescent="0.25">
      <c r="A3" s="58"/>
      <c r="B3" s="58"/>
      <c r="C3" s="58"/>
      <c r="D3" s="58"/>
      <c r="E3" s="58"/>
      <c r="F3" s="58"/>
      <c r="G3" s="58"/>
      <c r="H3" s="58"/>
      <c r="I3" s="59"/>
      <c r="J3" s="2"/>
    </row>
    <row r="4" spans="1:10" s="9" customFormat="1" ht="2.1" customHeight="1" x14ac:dyDescent="0.25">
      <c r="I4" s="2"/>
      <c r="J4" s="2"/>
    </row>
    <row r="5" spans="1:10" s="9" customFormat="1" ht="12.95" customHeight="1" x14ac:dyDescent="0.25">
      <c r="D5" s="56" t="s">
        <v>55</v>
      </c>
      <c r="E5" s="26" t="s">
        <v>44</v>
      </c>
      <c r="F5" s="26"/>
      <c r="G5" s="26"/>
      <c r="H5" s="11" t="s">
        <v>16</v>
      </c>
      <c r="I5" s="68" t="s">
        <v>45</v>
      </c>
      <c r="J5" s="26"/>
    </row>
    <row r="6" spans="1:10" s="10" customFormat="1" ht="12.95" customHeight="1" x14ac:dyDescent="0.2">
      <c r="A6" s="265">
        <v>1</v>
      </c>
      <c r="B6" s="265"/>
      <c r="C6" s="61" t="s">
        <v>0</v>
      </c>
      <c r="D6" s="106">
        <f>E6/$E$32</f>
        <v>0</v>
      </c>
      <c r="E6" s="192">
        <v>10000</v>
      </c>
      <c r="F6" s="231"/>
      <c r="G6" s="231"/>
      <c r="H6" s="191">
        <v>0</v>
      </c>
      <c r="I6" s="192">
        <f>E6*H6</f>
        <v>0</v>
      </c>
      <c r="J6" s="29"/>
    </row>
    <row r="7" spans="1:10" ht="3.95" customHeight="1" x14ac:dyDescent="0.2">
      <c r="B7" s="3"/>
      <c r="D7" s="107"/>
      <c r="E7" s="36"/>
      <c r="F7" s="28"/>
      <c r="G7" s="28"/>
      <c r="H7" s="193"/>
      <c r="I7" s="36"/>
      <c r="J7" s="36"/>
    </row>
    <row r="8" spans="1:10" s="10" customFormat="1" ht="12.95" customHeight="1" x14ac:dyDescent="0.2">
      <c r="A8" s="265">
        <v>2</v>
      </c>
      <c r="B8" s="265"/>
      <c r="C8" s="61" t="s">
        <v>1</v>
      </c>
      <c r="D8" s="106">
        <f>E8/$E$32</f>
        <v>0.30499999999999999</v>
      </c>
      <c r="E8" s="192">
        <f>_2</f>
        <v>9000000</v>
      </c>
      <c r="F8" s="231"/>
      <c r="G8" s="231"/>
      <c r="H8" s="194">
        <v>0</v>
      </c>
      <c r="I8" s="192">
        <f>E8*H8</f>
        <v>0</v>
      </c>
      <c r="J8" s="29"/>
    </row>
    <row r="9" spans="1:10" ht="3.95" customHeight="1" x14ac:dyDescent="0.2">
      <c r="D9" s="107"/>
      <c r="E9" s="29"/>
      <c r="F9" s="28"/>
      <c r="G9" s="28"/>
      <c r="H9" s="193"/>
      <c r="I9" s="29"/>
      <c r="J9" s="29"/>
    </row>
    <row r="10" spans="1:10" s="9" customFormat="1" ht="12.95" customHeight="1" x14ac:dyDescent="0.2">
      <c r="A10" s="265">
        <v>3</v>
      </c>
      <c r="B10" s="265"/>
      <c r="C10" s="61" t="s">
        <v>7</v>
      </c>
      <c r="D10" s="106">
        <f>E10/$E$32</f>
        <v>0.193</v>
      </c>
      <c r="E10" s="195">
        <f>_3</f>
        <v>5700000</v>
      </c>
      <c r="F10" s="231"/>
      <c r="G10" s="231"/>
      <c r="H10" s="193"/>
      <c r="I10" s="29"/>
      <c r="J10" s="29"/>
    </row>
    <row r="11" spans="1:10" ht="12.95" customHeight="1" x14ac:dyDescent="0.2">
      <c r="A11" s="188">
        <v>3</v>
      </c>
      <c r="B11" s="63" t="s">
        <v>17</v>
      </c>
      <c r="C11" s="64" t="s">
        <v>18</v>
      </c>
      <c r="D11" s="108"/>
      <c r="E11" s="228">
        <f>_3.01</f>
        <v>900000</v>
      </c>
      <c r="F11" s="231"/>
      <c r="G11" s="231"/>
      <c r="H11" s="194">
        <v>1</v>
      </c>
      <c r="I11" s="197">
        <f t="shared" ref="I11:I18" si="0">E11*H11</f>
        <v>900000</v>
      </c>
      <c r="J11" s="29"/>
    </row>
    <row r="12" spans="1:10" ht="12.95" customHeight="1" x14ac:dyDescent="0.2">
      <c r="A12" s="189">
        <v>3</v>
      </c>
      <c r="B12" s="66" t="s">
        <v>19</v>
      </c>
      <c r="C12" s="67" t="s">
        <v>26</v>
      </c>
      <c r="D12" s="109"/>
      <c r="E12" s="229">
        <f>_3.02</f>
        <v>1200000</v>
      </c>
      <c r="F12" s="231"/>
      <c r="G12" s="231"/>
      <c r="H12" s="194">
        <v>1</v>
      </c>
      <c r="I12" s="198">
        <f t="shared" si="0"/>
        <v>1200000</v>
      </c>
      <c r="J12" s="29"/>
    </row>
    <row r="13" spans="1:10" ht="12.95" customHeight="1" x14ac:dyDescent="0.2">
      <c r="A13" s="189">
        <v>3</v>
      </c>
      <c r="B13" s="66" t="s">
        <v>20</v>
      </c>
      <c r="C13" s="67" t="s">
        <v>27</v>
      </c>
      <c r="D13" s="109"/>
      <c r="E13" s="230">
        <f>_3.03</f>
        <v>1000000</v>
      </c>
      <c r="F13" s="231"/>
      <c r="G13" s="231"/>
      <c r="H13" s="194">
        <v>1</v>
      </c>
      <c r="I13" s="198">
        <f t="shared" si="0"/>
        <v>1000000</v>
      </c>
      <c r="J13" s="29"/>
    </row>
    <row r="14" spans="1:10" ht="12.95" customHeight="1" x14ac:dyDescent="0.2">
      <c r="A14" s="189">
        <v>3</v>
      </c>
      <c r="B14" s="66" t="s">
        <v>21</v>
      </c>
      <c r="C14" s="67" t="s">
        <v>28</v>
      </c>
      <c r="D14" s="109"/>
      <c r="E14" s="230">
        <f>_3.04</f>
        <v>1500000</v>
      </c>
      <c r="F14" s="231"/>
      <c r="G14" s="231"/>
      <c r="H14" s="194">
        <v>0</v>
      </c>
      <c r="I14" s="198">
        <f t="shared" si="0"/>
        <v>0</v>
      </c>
      <c r="J14" s="29"/>
    </row>
    <row r="15" spans="1:10" ht="12.95" customHeight="1" x14ac:dyDescent="0.2">
      <c r="A15" s="189">
        <v>3</v>
      </c>
      <c r="B15" s="66" t="s">
        <v>22</v>
      </c>
      <c r="C15" s="67" t="s">
        <v>31</v>
      </c>
      <c r="D15" s="109"/>
      <c r="E15" s="230">
        <f>_3.05</f>
        <v>600000</v>
      </c>
      <c r="F15" s="231"/>
      <c r="G15" s="231"/>
      <c r="H15" s="194">
        <v>0</v>
      </c>
      <c r="I15" s="198">
        <f t="shared" si="0"/>
        <v>0</v>
      </c>
      <c r="J15" s="29"/>
    </row>
    <row r="16" spans="1:10" ht="12.95" customHeight="1" x14ac:dyDescent="0.2">
      <c r="A16" s="189">
        <v>3</v>
      </c>
      <c r="B16" s="66" t="s">
        <v>23</v>
      </c>
      <c r="C16" s="67" t="s">
        <v>29</v>
      </c>
      <c r="D16" s="109"/>
      <c r="E16" s="230">
        <f>_3.06</f>
        <v>150000</v>
      </c>
      <c r="F16" s="231"/>
      <c r="G16" s="231"/>
      <c r="H16" s="194">
        <v>0</v>
      </c>
      <c r="I16" s="198">
        <f t="shared" si="0"/>
        <v>0</v>
      </c>
      <c r="J16" s="29"/>
    </row>
    <row r="17" spans="1:10" ht="12.95" customHeight="1" x14ac:dyDescent="0.2">
      <c r="A17" s="189">
        <v>3</v>
      </c>
      <c r="B17" s="66" t="s">
        <v>24</v>
      </c>
      <c r="C17" s="67" t="s">
        <v>30</v>
      </c>
      <c r="D17" s="109"/>
      <c r="E17" s="230">
        <f>_3.07</f>
        <v>50000</v>
      </c>
      <c r="F17" s="231"/>
      <c r="G17" s="231"/>
      <c r="H17" s="194">
        <v>0</v>
      </c>
      <c r="I17" s="198">
        <f t="shared" si="0"/>
        <v>0</v>
      </c>
      <c r="J17" s="29"/>
    </row>
    <row r="18" spans="1:10" ht="12.95" customHeight="1" x14ac:dyDescent="0.2">
      <c r="A18" s="189">
        <v>3</v>
      </c>
      <c r="B18" s="66" t="s">
        <v>25</v>
      </c>
      <c r="C18" s="67" t="s">
        <v>8</v>
      </c>
      <c r="D18" s="109"/>
      <c r="E18" s="230">
        <f>_3.08</f>
        <v>300000</v>
      </c>
      <c r="F18" s="231"/>
      <c r="G18" s="231"/>
      <c r="H18" s="194">
        <v>0</v>
      </c>
      <c r="I18" s="199">
        <f t="shared" si="0"/>
        <v>0</v>
      </c>
      <c r="J18" s="29"/>
    </row>
    <row r="19" spans="1:10" ht="3.95" customHeight="1" x14ac:dyDescent="0.2">
      <c r="D19" s="107"/>
      <c r="E19" s="29"/>
      <c r="F19" s="28"/>
      <c r="G19" s="28"/>
      <c r="H19" s="200"/>
      <c r="I19" s="29"/>
      <c r="J19" s="138"/>
    </row>
    <row r="20" spans="1:10" s="9" customFormat="1" ht="12.75" customHeight="1" x14ac:dyDescent="0.2">
      <c r="A20" s="265">
        <v>4</v>
      </c>
      <c r="B20" s="265"/>
      <c r="C20" s="61" t="s">
        <v>2</v>
      </c>
      <c r="D20" s="106">
        <f>E20/$E$32</f>
        <v>0.20300000000000001</v>
      </c>
      <c r="E20" s="192">
        <f>_4</f>
        <v>6000000</v>
      </c>
      <c r="F20" s="231"/>
      <c r="G20" s="231"/>
      <c r="H20" s="194">
        <v>0</v>
      </c>
      <c r="I20" s="192">
        <f>E20*H20</f>
        <v>0</v>
      </c>
      <c r="J20" s="29"/>
    </row>
    <row r="21" spans="1:10" ht="3.95" customHeight="1" x14ac:dyDescent="0.2">
      <c r="B21" s="3"/>
      <c r="D21" s="107"/>
      <c r="E21" s="29"/>
      <c r="F21" s="28"/>
      <c r="G21" s="28"/>
      <c r="H21" s="193"/>
      <c r="I21" s="29"/>
      <c r="J21" s="28"/>
    </row>
    <row r="22" spans="1:10" s="10" customFormat="1" ht="12.95" customHeight="1" x14ac:dyDescent="0.2">
      <c r="A22" s="265">
        <v>5</v>
      </c>
      <c r="B22" s="265"/>
      <c r="C22" s="61" t="s">
        <v>9</v>
      </c>
      <c r="D22" s="106">
        <f>E22/$E$32</f>
        <v>5.6000000000000001E-2</v>
      </c>
      <c r="E22" s="197">
        <f>_5</f>
        <v>1650000</v>
      </c>
      <c r="F22" s="231"/>
      <c r="G22" s="231"/>
      <c r="H22" s="194">
        <v>0</v>
      </c>
      <c r="I22" s="192">
        <f>E22*H22</f>
        <v>0</v>
      </c>
      <c r="J22" s="29"/>
    </row>
    <row r="23" spans="1:10" ht="3.95" customHeight="1" x14ac:dyDescent="0.2">
      <c r="D23" s="107"/>
      <c r="E23" s="29"/>
      <c r="F23" s="28"/>
      <c r="G23" s="28"/>
      <c r="H23" s="193"/>
      <c r="I23" s="29"/>
      <c r="J23" s="29"/>
    </row>
    <row r="24" spans="1:10" s="9" customFormat="1" ht="12.95" customHeight="1" x14ac:dyDescent="0.2">
      <c r="A24" s="265">
        <v>6</v>
      </c>
      <c r="B24" s="265"/>
      <c r="C24" s="61" t="s">
        <v>3</v>
      </c>
      <c r="D24" s="106">
        <f>E24/$E$32</f>
        <v>1.7000000000000001E-2</v>
      </c>
      <c r="E24" s="192">
        <f>_6</f>
        <v>500000</v>
      </c>
      <c r="F24" s="231"/>
      <c r="G24" s="231"/>
      <c r="H24" s="194">
        <v>0</v>
      </c>
      <c r="I24" s="192">
        <f>E24*H24</f>
        <v>0</v>
      </c>
      <c r="J24" s="29"/>
    </row>
    <row r="25" spans="1:10" ht="3.95" customHeight="1" x14ac:dyDescent="0.2">
      <c r="B25" s="12"/>
      <c r="D25" s="110"/>
      <c r="E25" s="29"/>
      <c r="F25" s="28"/>
      <c r="G25" s="28"/>
      <c r="H25" s="193"/>
      <c r="I25" s="29"/>
      <c r="J25" s="29"/>
    </row>
    <row r="26" spans="1:10" s="10" customFormat="1" ht="12.95" customHeight="1" x14ac:dyDescent="0.2">
      <c r="A26" s="265">
        <v>7</v>
      </c>
      <c r="B26" s="265"/>
      <c r="C26" s="61" t="s">
        <v>66</v>
      </c>
      <c r="D26" s="106">
        <f>E26/$E$32</f>
        <v>0.16900000000000001</v>
      </c>
      <c r="E26" s="192">
        <f>_7</f>
        <v>5000000</v>
      </c>
      <c r="F26" s="231"/>
      <c r="G26" s="231"/>
      <c r="H26" s="194">
        <v>0</v>
      </c>
      <c r="I26" s="192">
        <f>E26*H26</f>
        <v>0</v>
      </c>
      <c r="J26" s="29"/>
    </row>
    <row r="27" spans="1:10" ht="3.95" customHeight="1" x14ac:dyDescent="0.2">
      <c r="D27" s="110"/>
      <c r="E27" s="29"/>
      <c r="F27" s="28"/>
      <c r="G27" s="28"/>
      <c r="H27" s="193"/>
      <c r="I27" s="29"/>
      <c r="J27" s="29"/>
    </row>
    <row r="28" spans="1:10" s="10" customFormat="1" ht="12.95" customHeight="1" x14ac:dyDescent="0.2">
      <c r="A28" s="265">
        <v>8</v>
      </c>
      <c r="B28" s="265"/>
      <c r="C28" s="61" t="s">
        <v>84</v>
      </c>
      <c r="D28" s="106">
        <f>E28/$E$32</f>
        <v>1E-3</v>
      </c>
      <c r="E28" s="192">
        <f>_8</f>
        <v>40000</v>
      </c>
      <c r="F28" s="231"/>
      <c r="G28" s="231"/>
      <c r="H28" s="194">
        <v>0</v>
      </c>
      <c r="I28" s="192">
        <f>E28*H28</f>
        <v>0</v>
      </c>
      <c r="J28" s="29"/>
    </row>
    <row r="29" spans="1:10" ht="3.95" customHeight="1" x14ac:dyDescent="0.2">
      <c r="D29" s="110"/>
      <c r="E29" s="29"/>
      <c r="F29" s="28"/>
      <c r="G29" s="28"/>
      <c r="H29" s="200"/>
      <c r="I29" s="29"/>
      <c r="J29" s="138"/>
    </row>
    <row r="30" spans="1:10" s="10" customFormat="1" ht="12.95" customHeight="1" x14ac:dyDescent="0.2">
      <c r="A30" s="265">
        <v>9</v>
      </c>
      <c r="B30" s="265"/>
      <c r="C30" s="61" t="s">
        <v>10</v>
      </c>
      <c r="D30" s="106">
        <f>E30/$E$32</f>
        <v>5.3999999999999999E-2</v>
      </c>
      <c r="E30" s="192">
        <f>_9</f>
        <v>1600000</v>
      </c>
      <c r="F30" s="231"/>
      <c r="G30" s="231"/>
      <c r="H30" s="194">
        <v>0.03</v>
      </c>
      <c r="I30" s="192">
        <f>E30*H30</f>
        <v>48000</v>
      </c>
      <c r="J30" s="29"/>
    </row>
    <row r="31" spans="1:10" ht="9.9499999999999993" customHeight="1" x14ac:dyDescent="0.2">
      <c r="B31" s="12"/>
      <c r="D31" s="27"/>
      <c r="E31" s="29"/>
      <c r="F31" s="28"/>
      <c r="G31" s="28"/>
      <c r="H31" s="201"/>
      <c r="I31" s="29"/>
      <c r="J31" s="1"/>
    </row>
    <row r="32" spans="1:10" ht="12.95" customHeight="1" x14ac:dyDescent="0.2">
      <c r="A32" s="165" t="s">
        <v>12</v>
      </c>
      <c r="B32" s="166"/>
      <c r="C32" s="166"/>
      <c r="D32" s="57">
        <f>SUM(D6:D30)</f>
        <v>1</v>
      </c>
      <c r="E32" s="202">
        <f>_EK</f>
        <v>29500000</v>
      </c>
      <c r="F32" s="201"/>
      <c r="G32" s="201"/>
      <c r="H32" s="201"/>
      <c r="I32" s="201"/>
      <c r="J32" s="18"/>
    </row>
    <row r="33" spans="1:11" ht="3.95" customHeight="1" x14ac:dyDescent="0.25">
      <c r="B33" s="170"/>
      <c r="D33" s="27"/>
      <c r="E33" s="18"/>
      <c r="H33" s="203"/>
      <c r="J33" s="1"/>
    </row>
    <row r="34" spans="1:11" s="9" customFormat="1" ht="12.95" customHeight="1" x14ac:dyDescent="0.2">
      <c r="A34" s="190"/>
      <c r="B34" s="60" t="s">
        <v>85</v>
      </c>
      <c r="C34" s="61"/>
      <c r="D34" s="106"/>
      <c r="E34" s="192">
        <f>_mvB</f>
        <v>120000</v>
      </c>
      <c r="F34" s="231"/>
      <c r="G34" s="231"/>
      <c r="H34" s="194">
        <v>1</v>
      </c>
      <c r="I34" s="192">
        <f>E34*H34</f>
        <v>120000</v>
      </c>
    </row>
    <row r="35" spans="1:11" ht="6" customHeight="1" x14ac:dyDescent="0.2">
      <c r="D35" s="27"/>
    </row>
    <row r="36" spans="1:11" s="13" customFormat="1" ht="12.95" customHeight="1" x14ac:dyDescent="0.3">
      <c r="A36" s="167" t="s">
        <v>32</v>
      </c>
      <c r="B36" s="168"/>
      <c r="C36" s="168"/>
      <c r="D36" s="111"/>
      <c r="E36" s="111"/>
      <c r="F36" s="111"/>
      <c r="G36" s="111"/>
      <c r="H36" s="112"/>
      <c r="I36" s="205">
        <f>ROUND(SUM(I6:I34),2)</f>
        <v>3268000</v>
      </c>
      <c r="J36" s="37"/>
      <c r="K36" s="255"/>
    </row>
    <row r="37" spans="1:11" ht="6" customHeight="1" x14ac:dyDescent="0.2">
      <c r="A37" s="86"/>
      <c r="B37" s="86"/>
      <c r="C37" s="86"/>
      <c r="D37" s="86"/>
      <c r="E37" s="86"/>
      <c r="F37" s="86"/>
      <c r="G37" s="86"/>
      <c r="I37" s="102"/>
    </row>
    <row r="38" spans="1:11" ht="12.75" customHeight="1" x14ac:dyDescent="0.2">
      <c r="A38" s="84" t="s">
        <v>83</v>
      </c>
      <c r="B38" s="84"/>
      <c r="C38" s="85"/>
      <c r="D38" s="85"/>
      <c r="E38" s="85"/>
      <c r="F38" s="85"/>
      <c r="G38" s="85"/>
      <c r="H38" s="84"/>
      <c r="I38" s="171"/>
      <c r="J38" s="87"/>
    </row>
    <row r="39" spans="1:11" ht="2.1" customHeight="1" x14ac:dyDescent="0.2">
      <c r="A39" s="86"/>
      <c r="B39" s="86"/>
      <c r="C39" s="86"/>
      <c r="D39" s="86"/>
      <c r="E39" s="86"/>
      <c r="F39" s="86"/>
      <c r="G39" s="86"/>
      <c r="I39" s="102"/>
    </row>
    <row r="40" spans="1:11" ht="12.75" customHeight="1" x14ac:dyDescent="0.2">
      <c r="A40" s="87" t="s">
        <v>56</v>
      </c>
      <c r="B40" s="86"/>
      <c r="C40" s="86"/>
      <c r="D40" s="86"/>
      <c r="E40" s="86"/>
      <c r="F40" s="86"/>
      <c r="G40" s="86"/>
      <c r="I40" s="102"/>
    </row>
    <row r="41" spans="1:11" ht="12.75" customHeight="1" x14ac:dyDescent="0.2">
      <c r="A41" s="14"/>
      <c r="B41" s="14"/>
      <c r="E41" s="88" t="s">
        <v>5</v>
      </c>
      <c r="F41" s="89" t="s">
        <v>4</v>
      </c>
      <c r="G41" s="89"/>
      <c r="H41" s="266" t="s">
        <v>92</v>
      </c>
      <c r="I41" s="266"/>
      <c r="J41" s="34"/>
    </row>
    <row r="42" spans="1:11" ht="12.75" customHeight="1" x14ac:dyDescent="0.2">
      <c r="B42" s="15" t="s">
        <v>40</v>
      </c>
      <c r="C42" s="30"/>
      <c r="D42" s="30"/>
      <c r="E42" s="80">
        <v>22</v>
      </c>
      <c r="F42" s="90" t="s">
        <v>50</v>
      </c>
      <c r="G42" s="89"/>
      <c r="H42" s="206"/>
      <c r="I42" s="207"/>
      <c r="J42" s="34"/>
    </row>
    <row r="43" spans="1:11" ht="12.75" customHeight="1" x14ac:dyDescent="0.2">
      <c r="B43" s="16" t="s">
        <v>41</v>
      </c>
      <c r="C43" s="31"/>
      <c r="D43" s="31"/>
      <c r="E43" s="81">
        <v>2</v>
      </c>
      <c r="F43" s="91" t="s">
        <v>6</v>
      </c>
      <c r="G43" s="89"/>
      <c r="H43" s="208"/>
      <c r="I43" s="209"/>
      <c r="J43" s="34"/>
    </row>
    <row r="44" spans="1:11" ht="12.75" customHeight="1" x14ac:dyDescent="0.2">
      <c r="B44" s="16" t="s">
        <v>42</v>
      </c>
      <c r="C44" s="31"/>
      <c r="D44" s="31"/>
      <c r="E44" s="81">
        <v>1</v>
      </c>
      <c r="F44" s="91" t="s">
        <v>6</v>
      </c>
      <c r="G44" s="89"/>
      <c r="H44" s="208"/>
      <c r="I44" s="209"/>
      <c r="J44" s="34"/>
    </row>
    <row r="45" spans="1:11" ht="12.75" customHeight="1" x14ac:dyDescent="0.2">
      <c r="B45" s="16" t="s">
        <v>43</v>
      </c>
      <c r="C45" s="31"/>
      <c r="D45" s="31"/>
      <c r="E45" s="81">
        <v>2</v>
      </c>
      <c r="F45" s="91" t="s">
        <v>6</v>
      </c>
      <c r="G45" s="89"/>
      <c r="H45" s="208"/>
      <c r="I45" s="209"/>
      <c r="J45" s="34"/>
    </row>
    <row r="46" spans="1:11" ht="4.5" customHeight="1" x14ac:dyDescent="0.2">
      <c r="A46" s="14"/>
      <c r="B46" s="14"/>
      <c r="E46" s="92"/>
      <c r="F46" s="92"/>
      <c r="G46" s="92"/>
      <c r="H46" s="206"/>
      <c r="I46" s="207"/>
      <c r="J46" s="34"/>
    </row>
    <row r="47" spans="1:11" ht="12.75" customHeight="1" x14ac:dyDescent="0.2">
      <c r="B47" s="256"/>
      <c r="C47" s="31" t="s">
        <v>86</v>
      </c>
      <c r="D47" s="31"/>
      <c r="E47" s="81">
        <v>0</v>
      </c>
      <c r="F47" s="91" t="s">
        <v>99</v>
      </c>
      <c r="G47" s="89"/>
      <c r="H47" s="208"/>
      <c r="I47" s="212"/>
      <c r="J47" s="34"/>
    </row>
    <row r="48" spans="1:11" ht="12.75" customHeight="1" x14ac:dyDescent="0.2">
      <c r="B48" s="256"/>
      <c r="C48" s="31" t="s">
        <v>87</v>
      </c>
      <c r="D48" s="31"/>
      <c r="E48" s="81">
        <v>0</v>
      </c>
      <c r="F48" s="91" t="s">
        <v>99</v>
      </c>
      <c r="G48" s="89"/>
      <c r="H48" s="208"/>
      <c r="I48" s="212"/>
      <c r="J48" s="34"/>
    </row>
    <row r="49" spans="1:10" ht="12.75" customHeight="1" x14ac:dyDescent="0.2">
      <c r="B49" s="256"/>
      <c r="C49" s="31" t="s">
        <v>88</v>
      </c>
      <c r="D49" s="31"/>
      <c r="E49" s="81">
        <v>0</v>
      </c>
      <c r="F49" s="91" t="s">
        <v>99</v>
      </c>
      <c r="G49" s="89"/>
      <c r="H49" s="208"/>
      <c r="I49" s="212"/>
      <c r="J49" s="34"/>
    </row>
    <row r="50" spans="1:10" ht="3.95" customHeight="1" x14ac:dyDescent="0.2">
      <c r="B50" s="14"/>
      <c r="C50" s="213"/>
      <c r="D50" s="213"/>
      <c r="E50" s="257"/>
      <c r="F50" s="214"/>
      <c r="G50" s="215"/>
      <c r="I50" s="172"/>
      <c r="J50" s="34"/>
    </row>
    <row r="51" spans="1:10" ht="12.75" customHeight="1" x14ac:dyDescent="0.2">
      <c r="B51" s="14" t="s">
        <v>39</v>
      </c>
      <c r="C51" s="93"/>
      <c r="D51" s="94"/>
      <c r="E51" s="105">
        <f>SUM(E42:E49)</f>
        <v>27</v>
      </c>
      <c r="F51" s="94"/>
      <c r="G51" s="94"/>
      <c r="I51" s="172"/>
      <c r="J51" s="1"/>
    </row>
    <row r="52" spans="1:10" ht="3.95" customHeight="1" x14ac:dyDescent="0.2">
      <c r="B52" s="14"/>
      <c r="C52" s="94"/>
      <c r="D52" s="94"/>
      <c r="E52" s="94"/>
      <c r="F52" s="94"/>
      <c r="G52" s="94"/>
      <c r="I52" s="172"/>
      <c r="J52" s="1"/>
    </row>
    <row r="53" spans="1:10" ht="12.95" customHeight="1" x14ac:dyDescent="0.2">
      <c r="A53" s="87" t="s">
        <v>15</v>
      </c>
      <c r="B53" s="87"/>
      <c r="C53" s="86"/>
      <c r="D53" s="86"/>
      <c r="E53" s="86"/>
      <c r="F53" s="86"/>
      <c r="G53" s="86"/>
      <c r="H53" s="173"/>
      <c r="I53" s="1"/>
    </row>
    <row r="54" spans="1:10" ht="4.5" customHeight="1" x14ac:dyDescent="0.2">
      <c r="A54" s="87"/>
      <c r="B54" s="87"/>
      <c r="C54" s="87"/>
      <c r="I54" s="1"/>
    </row>
    <row r="55" spans="1:10" ht="12.75" customHeight="1" x14ac:dyDescent="0.2">
      <c r="A55" s="95" t="s">
        <v>11</v>
      </c>
      <c r="B55" s="95"/>
      <c r="E55" s="113">
        <f>I36</f>
        <v>3268000</v>
      </c>
      <c r="I55" s="1"/>
    </row>
    <row r="56" spans="1:10" ht="3.95" customHeight="1" x14ac:dyDescent="0.25">
      <c r="A56" s="14"/>
      <c r="B56" s="14"/>
      <c r="C56" s="14"/>
      <c r="D56" s="14"/>
      <c r="E56" s="93"/>
      <c r="I56"/>
    </row>
    <row r="57" spans="1:10" ht="12.75" customHeight="1" x14ac:dyDescent="0.2">
      <c r="A57" s="14" t="s">
        <v>52</v>
      </c>
      <c r="B57" s="14"/>
      <c r="E57" s="174">
        <f>0.03*E51+0.73</f>
        <v>1.54</v>
      </c>
      <c r="F57" s="271" t="str">
        <f>IF(I36&lt;50000,"! gemäß TA.9 (3): Ist die Bemessungsgrundlage niedriger als 50.000 €, sollte der Ermittlungsweg über Abschätzung des Büro- / Personalaufwandes gewählt werden","")</f>
        <v/>
      </c>
      <c r="G57" s="271"/>
      <c r="H57" s="271"/>
      <c r="I57" s="271"/>
    </row>
    <row r="58" spans="1:10" ht="3.95" customHeight="1" x14ac:dyDescent="0.2">
      <c r="A58" s="14"/>
      <c r="B58" s="14"/>
      <c r="E58" s="24"/>
      <c r="F58" s="271"/>
      <c r="G58" s="271"/>
      <c r="H58" s="271"/>
      <c r="I58" s="271"/>
    </row>
    <row r="59" spans="1:10" ht="12.75" customHeight="1" x14ac:dyDescent="0.2">
      <c r="A59" s="14" t="s">
        <v>54</v>
      </c>
      <c r="B59" s="14"/>
      <c r="E59" s="185">
        <f>ROUND(IF(E55&lt;2000000,202*E55^(-0.2248)*E57/100,(37.8*E55^(-0.109)*E57/100)),6)</f>
        <v>0.11348999999999999</v>
      </c>
      <c r="F59" s="271"/>
      <c r="G59" s="271"/>
      <c r="H59" s="271"/>
      <c r="I59" s="271"/>
    </row>
    <row r="60" spans="1:10" ht="15.95" customHeight="1" x14ac:dyDescent="0.3">
      <c r="A60" s="19" t="s">
        <v>57</v>
      </c>
      <c r="B60" s="19"/>
      <c r="E60" s="216">
        <f>202*E55^(-0.2248)*E57/100</f>
        <v>0.10677300000000001</v>
      </c>
      <c r="F60" s="175" t="str">
        <f>IF(E55&lt;2000000,"(PL + ÖBA)","")</f>
        <v/>
      </c>
      <c r="G60" s="175"/>
      <c r="I60"/>
    </row>
    <row r="61" spans="1:10" ht="15.95" customHeight="1" x14ac:dyDescent="0.3">
      <c r="A61" s="19" t="s">
        <v>58</v>
      </c>
      <c r="B61" s="19"/>
      <c r="C61" s="19"/>
      <c r="E61" s="216">
        <f>37.8*E55^(-0.109)*E57/100</f>
        <v>0.11348999999999999</v>
      </c>
      <c r="F61" s="217" t="str">
        <f>IF(E55&gt;1999999.99,"(PL + ÖBA)","")</f>
        <v>(PL + ÖBA)</v>
      </c>
      <c r="G61" s="217"/>
      <c r="I61"/>
    </row>
    <row r="62" spans="1:10" ht="13.5" customHeight="1" x14ac:dyDescent="0.25">
      <c r="A62" s="19" t="s">
        <v>68</v>
      </c>
      <c r="B62" s="19"/>
      <c r="C62" s="19"/>
      <c r="E62" s="115">
        <v>0</v>
      </c>
      <c r="F62" s="217"/>
      <c r="H62" s="1"/>
      <c r="I62"/>
    </row>
    <row r="63" spans="1:10" ht="2.1" customHeight="1" x14ac:dyDescent="0.25">
      <c r="A63" s="14"/>
      <c r="B63" s="14"/>
      <c r="E63" s="96"/>
      <c r="F63" s="96"/>
      <c r="G63" s="96"/>
      <c r="H63" s="1"/>
      <c r="I63"/>
    </row>
    <row r="64" spans="1:10" ht="15" customHeight="1" x14ac:dyDescent="0.3">
      <c r="A64" s="17" t="s">
        <v>79</v>
      </c>
      <c r="B64" s="15"/>
      <c r="C64" s="97"/>
      <c r="D64" s="97"/>
      <c r="E64" s="98"/>
      <c r="F64" s="218">
        <f>ROUND(E55*E59*(1+E62),2)</f>
        <v>370885</v>
      </c>
      <c r="G64" s="217"/>
      <c r="I64" s="1"/>
    </row>
    <row r="65" spans="1:11" ht="12.95" customHeight="1" x14ac:dyDescent="0.2">
      <c r="A65" s="19"/>
      <c r="B65" s="14"/>
      <c r="C65" s="86"/>
      <c r="D65" s="219" t="s">
        <v>80</v>
      </c>
      <c r="E65" s="220" t="s">
        <v>5</v>
      </c>
      <c r="F65" s="99"/>
      <c r="G65" s="221"/>
      <c r="H65" s="88"/>
      <c r="I65" s="25"/>
    </row>
    <row r="66" spans="1:11" ht="12.75" customHeight="1" x14ac:dyDescent="0.2">
      <c r="A66" s="86" t="s">
        <v>47</v>
      </c>
      <c r="B66" s="86"/>
      <c r="D66" s="186">
        <v>0.02</v>
      </c>
      <c r="E66" s="114">
        <v>0.02</v>
      </c>
      <c r="F66" s="102">
        <f t="shared" ref="F66:F75" si="1">$F$64*E66</f>
        <v>7418</v>
      </c>
      <c r="G66" s="222"/>
      <c r="H66" s="258"/>
      <c r="I66" s="102"/>
    </row>
    <row r="67" spans="1:11" ht="12.75" customHeight="1" x14ac:dyDescent="0.2">
      <c r="A67" s="86" t="s">
        <v>33</v>
      </c>
      <c r="B67" s="86"/>
      <c r="D67" s="186">
        <v>0.09</v>
      </c>
      <c r="E67" s="115">
        <v>0.09</v>
      </c>
      <c r="F67" s="102">
        <f t="shared" si="1"/>
        <v>33380</v>
      </c>
      <c r="G67" s="223"/>
      <c r="H67" s="259"/>
      <c r="I67" s="102"/>
    </row>
    <row r="68" spans="1:11" ht="12.75" customHeight="1" x14ac:dyDescent="0.2">
      <c r="A68" s="86" t="s">
        <v>34</v>
      </c>
      <c r="B68" s="86"/>
      <c r="D68" s="186">
        <v>0.16</v>
      </c>
      <c r="E68" s="115">
        <v>0.16</v>
      </c>
      <c r="F68" s="102">
        <f t="shared" si="1"/>
        <v>59342</v>
      </c>
      <c r="G68" s="223"/>
      <c r="H68" s="259"/>
      <c r="I68" s="102"/>
    </row>
    <row r="69" spans="1:11" ht="12.75" customHeight="1" x14ac:dyDescent="0.2">
      <c r="A69" s="86" t="s">
        <v>35</v>
      </c>
      <c r="B69" s="86"/>
      <c r="D69" s="186">
        <v>0.05</v>
      </c>
      <c r="E69" s="115">
        <v>0.05</v>
      </c>
      <c r="F69" s="102">
        <f t="shared" si="1"/>
        <v>18544</v>
      </c>
      <c r="G69" s="223"/>
      <c r="H69" s="259"/>
      <c r="I69" s="102"/>
      <c r="K69" s="1" t="s">
        <v>59</v>
      </c>
    </row>
    <row r="70" spans="1:11" ht="12.75" customHeight="1" x14ac:dyDescent="0.2">
      <c r="A70" s="86" t="s">
        <v>36</v>
      </c>
      <c r="B70" s="86"/>
      <c r="D70" s="186">
        <v>0.2</v>
      </c>
      <c r="E70" s="115">
        <v>0.2</v>
      </c>
      <c r="F70" s="102">
        <f t="shared" si="1"/>
        <v>74177</v>
      </c>
      <c r="G70" s="223"/>
      <c r="H70" s="259"/>
      <c r="I70" s="102"/>
    </row>
    <row r="71" spans="1:11" ht="12.75" customHeight="1" x14ac:dyDescent="0.2">
      <c r="A71" s="86" t="s">
        <v>37</v>
      </c>
      <c r="B71" s="86"/>
      <c r="D71" s="186">
        <v>0.05</v>
      </c>
      <c r="E71" s="115">
        <v>0.05</v>
      </c>
      <c r="F71" s="102">
        <f t="shared" si="1"/>
        <v>18544</v>
      </c>
      <c r="G71" s="222"/>
      <c r="H71" s="258"/>
      <c r="I71" s="102"/>
    </row>
    <row r="72" spans="1:11" ht="12.75" customHeight="1" x14ac:dyDescent="0.2">
      <c r="A72" s="86" t="s">
        <v>51</v>
      </c>
      <c r="B72" s="86"/>
      <c r="D72" s="186">
        <v>0.02</v>
      </c>
      <c r="E72" s="115">
        <v>0.02</v>
      </c>
      <c r="F72" s="102">
        <f t="shared" si="1"/>
        <v>7418</v>
      </c>
      <c r="G72" s="223"/>
      <c r="H72" s="259"/>
      <c r="I72" s="102"/>
    </row>
    <row r="73" spans="1:11" ht="12.75" customHeight="1" x14ac:dyDescent="0.2">
      <c r="A73" s="86" t="s">
        <v>48</v>
      </c>
      <c r="B73" s="86"/>
      <c r="D73" s="186">
        <v>0.04</v>
      </c>
      <c r="E73" s="115">
        <v>0.04</v>
      </c>
      <c r="F73" s="102">
        <f t="shared" si="1"/>
        <v>14835</v>
      </c>
      <c r="G73" s="223"/>
      <c r="H73" s="259"/>
      <c r="I73" s="102"/>
    </row>
    <row r="74" spans="1:11" ht="12.75" customHeight="1" x14ac:dyDescent="0.2">
      <c r="A74" s="86" t="s">
        <v>53</v>
      </c>
      <c r="B74" s="86"/>
      <c r="D74" s="186">
        <v>0.35</v>
      </c>
      <c r="E74" s="115">
        <v>0.35</v>
      </c>
      <c r="F74" s="102">
        <f t="shared" si="1"/>
        <v>129810</v>
      </c>
      <c r="G74" s="223"/>
      <c r="H74" s="259"/>
      <c r="I74" s="102"/>
    </row>
    <row r="75" spans="1:11" ht="12.75" customHeight="1" x14ac:dyDescent="0.2">
      <c r="A75" s="97" t="s">
        <v>49</v>
      </c>
      <c r="B75" s="97"/>
      <c r="C75" s="30"/>
      <c r="D75" s="187">
        <v>0.02</v>
      </c>
      <c r="E75" s="116">
        <v>0.02</v>
      </c>
      <c r="F75" s="103">
        <f t="shared" si="1"/>
        <v>7418</v>
      </c>
      <c r="G75" s="224"/>
      <c r="H75" s="260"/>
      <c r="I75" s="103"/>
    </row>
    <row r="76" spans="1:11" s="244" customFormat="1" ht="18.600000000000001" customHeight="1" x14ac:dyDescent="0.25">
      <c r="A76" s="242" t="s">
        <v>38</v>
      </c>
      <c r="B76" s="243"/>
      <c r="D76" s="263">
        <f>SUM(D66:D75)</f>
        <v>1</v>
      </c>
      <c r="E76" s="245">
        <f>SUM(E66:E75)</f>
        <v>1</v>
      </c>
      <c r="F76" s="246">
        <f>SUM(F66:F75)</f>
        <v>370886</v>
      </c>
      <c r="G76" s="247"/>
      <c r="H76" s="245"/>
      <c r="I76" s="246"/>
      <c r="J76" s="248"/>
    </row>
    <row r="77" spans="1:11" ht="12.75" customHeight="1" x14ac:dyDescent="0.2">
      <c r="A77" s="249" t="s">
        <v>93</v>
      </c>
      <c r="B77" s="100"/>
      <c r="D77" s="225">
        <v>0.02</v>
      </c>
      <c r="E77" s="114">
        <v>0.02</v>
      </c>
      <c r="F77" s="102">
        <f t="shared" ref="F77:F84" si="2">$F$64*E77</f>
        <v>7418</v>
      </c>
      <c r="G77" s="101"/>
      <c r="H77" s="102"/>
      <c r="I77" s="70"/>
    </row>
    <row r="78" spans="1:11" ht="12.75" customHeight="1" x14ac:dyDescent="0.2">
      <c r="A78" s="249" t="s">
        <v>94</v>
      </c>
      <c r="B78" s="100"/>
      <c r="D78" s="225">
        <v>1.4999999999999999E-2</v>
      </c>
      <c r="E78" s="115">
        <v>0</v>
      </c>
      <c r="F78" s="102">
        <f t="shared" si="2"/>
        <v>0</v>
      </c>
      <c r="G78" s="101"/>
      <c r="H78" s="102"/>
      <c r="I78" s="70"/>
    </row>
    <row r="79" spans="1:11" ht="12.75" customHeight="1" x14ac:dyDescent="0.2">
      <c r="A79" s="249" t="s">
        <v>95</v>
      </c>
      <c r="B79" s="100"/>
      <c r="D79" s="225">
        <v>2.5000000000000001E-2</v>
      </c>
      <c r="E79" s="115">
        <v>0</v>
      </c>
      <c r="F79" s="102">
        <f t="shared" si="2"/>
        <v>0</v>
      </c>
      <c r="G79" s="101"/>
      <c r="H79" s="102"/>
      <c r="I79" s="70"/>
    </row>
    <row r="80" spans="1:11" ht="12.75" customHeight="1" x14ac:dyDescent="0.2">
      <c r="A80" s="249" t="s">
        <v>96</v>
      </c>
      <c r="B80" s="100"/>
      <c r="D80" s="225">
        <v>0.03</v>
      </c>
      <c r="E80" s="226">
        <v>0</v>
      </c>
      <c r="F80" s="102">
        <f t="shared" si="2"/>
        <v>0</v>
      </c>
      <c r="G80" s="101"/>
      <c r="H80" s="102"/>
      <c r="I80" s="70"/>
    </row>
    <row r="81" spans="1:13" ht="12.75" customHeight="1" x14ac:dyDescent="0.2">
      <c r="A81" s="249" t="s">
        <v>97</v>
      </c>
      <c r="B81" s="100"/>
      <c r="D81" s="225">
        <v>0.02</v>
      </c>
      <c r="E81" s="227">
        <v>0</v>
      </c>
      <c r="F81" s="102">
        <f t="shared" si="2"/>
        <v>0</v>
      </c>
      <c r="G81" s="101"/>
      <c r="H81" s="102"/>
      <c r="I81" s="70"/>
    </row>
    <row r="82" spans="1:13" ht="12.75" customHeight="1" x14ac:dyDescent="0.2">
      <c r="A82" s="249" t="s">
        <v>98</v>
      </c>
      <c r="B82" s="100"/>
      <c r="D82" s="222">
        <v>0.01</v>
      </c>
      <c r="E82" s="227">
        <v>0</v>
      </c>
      <c r="F82" s="102">
        <f t="shared" si="2"/>
        <v>0</v>
      </c>
      <c r="G82" s="101"/>
      <c r="H82" s="102"/>
      <c r="I82" s="70"/>
    </row>
    <row r="83" spans="1:13" ht="13.5" customHeight="1" x14ac:dyDescent="0.2">
      <c r="A83" s="274" t="s">
        <v>107</v>
      </c>
      <c r="B83" s="100"/>
      <c r="D83" s="222">
        <v>0.01</v>
      </c>
      <c r="E83" s="227">
        <v>0</v>
      </c>
      <c r="F83" s="102">
        <f t="shared" si="2"/>
        <v>0</v>
      </c>
      <c r="G83" s="101"/>
      <c r="H83" s="102"/>
      <c r="I83" s="70"/>
    </row>
    <row r="84" spans="1:13" ht="12.75" customHeight="1" x14ac:dyDescent="0.2">
      <c r="A84" s="275" t="s">
        <v>108</v>
      </c>
      <c r="B84" s="250"/>
      <c r="C84" s="30"/>
      <c r="D84" s="251">
        <v>0.04</v>
      </c>
      <c r="E84" s="116">
        <v>0</v>
      </c>
      <c r="F84" s="103">
        <f t="shared" si="2"/>
        <v>0</v>
      </c>
      <c r="G84" s="261"/>
      <c r="H84" s="103"/>
      <c r="I84" s="252"/>
      <c r="J84" s="1"/>
    </row>
    <row r="85" spans="1:13" ht="12.75" customHeight="1" x14ac:dyDescent="0.2">
      <c r="A85" s="270" t="s">
        <v>104</v>
      </c>
      <c r="B85" s="270"/>
      <c r="C85" s="270"/>
      <c r="D85" s="262">
        <f>SUM(D76:D84)</f>
        <v>1.17</v>
      </c>
      <c r="E85" s="101">
        <f>SUM(E76:E84)</f>
        <v>1.02</v>
      </c>
      <c r="F85" s="247">
        <f>SUM(F77:F84)+F76</f>
        <v>378304</v>
      </c>
      <c r="H85" s="101"/>
      <c r="I85" s="254">
        <f>F85</f>
        <v>378304</v>
      </c>
      <c r="J85" s="1"/>
      <c r="K85" s="8"/>
    </row>
    <row r="86" spans="1:13" ht="12.75" customHeight="1" x14ac:dyDescent="0.2">
      <c r="A86" s="176"/>
      <c r="B86" s="14"/>
      <c r="D86" s="101"/>
      <c r="E86" s="101"/>
      <c r="F86" s="104"/>
      <c r="G86" s="7"/>
      <c r="I86" s="253"/>
      <c r="J86" s="1"/>
    </row>
    <row r="87" spans="1:13" ht="12.75" customHeight="1" x14ac:dyDescent="0.25">
      <c r="A87" s="28" t="s">
        <v>67</v>
      </c>
      <c r="E87" s="232">
        <v>0</v>
      </c>
      <c r="F87" s="169">
        <v>0</v>
      </c>
      <c r="G87" s="7"/>
      <c r="I87" s="70">
        <f>E87*F87</f>
        <v>0</v>
      </c>
      <c r="K87"/>
      <c r="L87"/>
      <c r="M87"/>
    </row>
    <row r="88" spans="1:13" ht="3" customHeight="1" x14ac:dyDescent="0.25">
      <c r="E88" s="177"/>
      <c r="I88"/>
    </row>
    <row r="89" spans="1:13" s="19" customFormat="1" ht="12.75" x14ac:dyDescent="0.2">
      <c r="A89" s="73" t="s">
        <v>69</v>
      </c>
      <c r="B89" s="74"/>
      <c r="C89" s="75"/>
      <c r="D89" s="77"/>
      <c r="E89" s="178"/>
      <c r="F89" s="76"/>
      <c r="G89" s="76"/>
      <c r="H89" s="76"/>
      <c r="I89" s="78">
        <f>I85+I87</f>
        <v>378304</v>
      </c>
    </row>
    <row r="90" spans="1:13" s="19" customFormat="1" ht="3" customHeight="1" x14ac:dyDescent="0.2">
      <c r="B90" s="20"/>
      <c r="C90" s="21"/>
      <c r="D90" s="39"/>
      <c r="E90" s="40"/>
      <c r="F90" s="40"/>
      <c r="G90" s="40"/>
      <c r="I90" s="70"/>
    </row>
    <row r="91" spans="1:13" s="19" customFormat="1" ht="12.75" x14ac:dyDescent="0.2">
      <c r="A91" s="41" t="s">
        <v>13</v>
      </c>
      <c r="B91" s="20"/>
      <c r="C91" s="21"/>
      <c r="D91" s="39"/>
      <c r="E91" s="117">
        <v>0.04</v>
      </c>
      <c r="F91" s="40"/>
      <c r="G91" s="40"/>
      <c r="I91" s="70">
        <f>ROUND(I89*E91,2)</f>
        <v>15132</v>
      </c>
    </row>
    <row r="92" spans="1:13" s="19" customFormat="1" ht="3" customHeight="1" x14ac:dyDescent="0.2">
      <c r="A92" s="42"/>
      <c r="B92" s="43"/>
      <c r="C92" s="44"/>
      <c r="D92" s="48"/>
      <c r="E92" s="118"/>
      <c r="F92" s="52"/>
      <c r="G92" s="52"/>
      <c r="H92" s="42"/>
      <c r="I92" s="72"/>
    </row>
    <row r="93" spans="1:13" s="19" customFormat="1" ht="3" customHeight="1" x14ac:dyDescent="0.2">
      <c r="B93" s="20"/>
      <c r="C93" s="21"/>
      <c r="D93" s="49"/>
      <c r="E93" s="119"/>
      <c r="F93" s="53"/>
      <c r="G93" s="53"/>
      <c r="H93" s="50"/>
      <c r="I93" s="70"/>
    </row>
    <row r="94" spans="1:13" s="19" customFormat="1" ht="12.75" x14ac:dyDescent="0.2">
      <c r="A94" s="45" t="s">
        <v>70</v>
      </c>
      <c r="B94" s="46"/>
      <c r="C94" s="47"/>
      <c r="D94" s="22"/>
      <c r="E94" s="120"/>
      <c r="F94" s="40"/>
      <c r="G94" s="40"/>
      <c r="I94" s="71">
        <f>I89+I91</f>
        <v>393436</v>
      </c>
    </row>
    <row r="95" spans="1:13" s="19" customFormat="1" ht="12.75" x14ac:dyDescent="0.2">
      <c r="A95" s="19" t="s">
        <v>14</v>
      </c>
      <c r="B95" s="20"/>
      <c r="C95" s="21"/>
      <c r="D95" s="22"/>
      <c r="E95" s="23">
        <v>0.2</v>
      </c>
      <c r="F95" s="23"/>
      <c r="G95" s="23"/>
      <c r="I95" s="70">
        <f>ROUND(I94*E95,2)</f>
        <v>78687</v>
      </c>
    </row>
    <row r="96" spans="1:13" s="19" customFormat="1" ht="3" customHeight="1" x14ac:dyDescent="0.2">
      <c r="B96" s="20"/>
      <c r="C96" s="21"/>
      <c r="D96" s="22"/>
      <c r="E96" s="40"/>
      <c r="F96" s="40"/>
      <c r="G96" s="40"/>
      <c r="I96" s="70"/>
    </row>
    <row r="97" spans="1:13" s="19" customFormat="1" ht="12.75" x14ac:dyDescent="0.2">
      <c r="A97" s="121" t="s">
        <v>71</v>
      </c>
      <c r="B97" s="122"/>
      <c r="C97" s="123"/>
      <c r="D97" s="125"/>
      <c r="E97" s="126"/>
      <c r="F97" s="126"/>
      <c r="G97" s="126"/>
      <c r="H97" s="124"/>
      <c r="I97" s="127">
        <f>SUM(I93:I95)</f>
        <v>472123</v>
      </c>
    </row>
    <row r="98" spans="1:13" s="8" customFormat="1" ht="3" customHeight="1" x14ac:dyDescent="0.2">
      <c r="A98" s="1"/>
      <c r="B98" s="6"/>
      <c r="C98" s="1"/>
      <c r="D98" s="1"/>
      <c r="E98" s="1"/>
      <c r="F98" s="1"/>
      <c r="G98" s="1"/>
      <c r="H98" s="7"/>
      <c r="K98" s="1"/>
      <c r="L98" s="1"/>
      <c r="M98" s="1"/>
    </row>
    <row r="99" spans="1:13" ht="12.75" x14ac:dyDescent="0.2">
      <c r="A99" s="128" t="s">
        <v>61</v>
      </c>
      <c r="E99" s="179">
        <f>I94/E32</f>
        <v>1.3337E-2</v>
      </c>
    </row>
  </sheetData>
  <sheetProtection algorithmName="SHA-512" hashValue="QfB65b8fYhlydNzbHK7tv60pOUsYsArSutyyRcysYMz7ZZME+JiCTV3UxUtHqDyaJWfWnM8p5icDYuM0KS554A==" saltValue="a0gCnsj1WGw2FfN76/vPJA==" spinCount="100000" sheet="1" objects="1" scenarios="1"/>
  <mergeCells count="13">
    <mergeCell ref="A85:C85"/>
    <mergeCell ref="F57:I59"/>
    <mergeCell ref="H41:I41"/>
    <mergeCell ref="H2:I2"/>
    <mergeCell ref="A6:B6"/>
    <mergeCell ref="A8:B8"/>
    <mergeCell ref="A10:B10"/>
    <mergeCell ref="A20:B20"/>
    <mergeCell ref="A22:B22"/>
    <mergeCell ref="A24:B24"/>
    <mergeCell ref="A26:B26"/>
    <mergeCell ref="A28:B28"/>
    <mergeCell ref="A30:B30"/>
  </mergeCells>
  <conditionalFormatting sqref="E60">
    <cfRule type="expression" dxfId="9" priority="2" stopIfTrue="1">
      <formula>$E$55&gt;1999999.99</formula>
    </cfRule>
  </conditionalFormatting>
  <conditionalFormatting sqref="E61">
    <cfRule type="expression" dxfId="8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&amp;L&amp;"Arial,Fett"&amp;K01+020Angebot TA | Anlagengruppen aufgegliedert
&amp;"Arial,Standard"nach LM.VM.2023&amp;R&amp;"Arial,Standard"&amp;K01+021Version 1
Stand: 15.09.2023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Scroll Bar 4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Scroll Bar 5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Scroll Bar 6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Scroll Bar 7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Scroll Bar 8">
              <controlPr defaultSize="0" autoPict="0">
                <anchor moveWithCells="1">
                  <from>
                    <xdr:col>7</xdr:col>
                    <xdr:colOff>19050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Scroll Bar 9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Scroll Bar 10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3DA74-E8F9-4AC7-B1AB-D833452CD434}">
  <sheetPr>
    <tabColor theme="5" tint="0.39997558519241921"/>
  </sheetPr>
  <dimension ref="A1:M99"/>
  <sheetViews>
    <sheetView showGridLines="0" zoomScaleNormal="100" zoomScaleSheetLayoutView="85" zoomScalePageLayoutView="70" workbookViewId="0">
      <selection activeCell="F64" sqref="F64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0" width="2.7109375" style="8" customWidth="1"/>
    <col min="11" max="16384" width="11.5703125" style="1"/>
  </cols>
  <sheetData>
    <row r="1" spans="1:10" ht="5.0999999999999996" customHeight="1" x14ac:dyDescent="0.2"/>
    <row r="2" spans="1:10" s="32" customFormat="1" ht="23.25" customHeight="1" x14ac:dyDescent="0.2">
      <c r="A2" s="79" t="s">
        <v>60</v>
      </c>
      <c r="E2" s="33"/>
      <c r="F2" s="33"/>
      <c r="G2" s="33"/>
      <c r="H2" s="267" t="s">
        <v>89</v>
      </c>
      <c r="I2" s="267"/>
      <c r="J2" s="35"/>
    </row>
    <row r="3" spans="1:10" s="9" customFormat="1" ht="2.1" customHeight="1" x14ac:dyDescent="0.25">
      <c r="A3" s="58"/>
      <c r="B3" s="58"/>
      <c r="C3" s="58"/>
      <c r="D3" s="58"/>
      <c r="E3" s="58"/>
      <c r="F3" s="58"/>
      <c r="G3" s="58"/>
      <c r="H3" s="58"/>
      <c r="I3" s="59"/>
      <c r="J3" s="2"/>
    </row>
    <row r="4" spans="1:10" s="9" customFormat="1" ht="2.1" customHeight="1" x14ac:dyDescent="0.25">
      <c r="I4" s="2"/>
      <c r="J4" s="2"/>
    </row>
    <row r="5" spans="1:10" s="9" customFormat="1" ht="12.95" customHeight="1" x14ac:dyDescent="0.25">
      <c r="D5" s="56" t="s">
        <v>55</v>
      </c>
      <c r="E5" s="26" t="s">
        <v>44</v>
      </c>
      <c r="F5" s="26"/>
      <c r="G5" s="26"/>
      <c r="H5" s="11" t="s">
        <v>16</v>
      </c>
      <c r="I5" s="68" t="s">
        <v>45</v>
      </c>
      <c r="J5" s="26"/>
    </row>
    <row r="6" spans="1:10" s="10" customFormat="1" ht="12.95" customHeight="1" x14ac:dyDescent="0.2">
      <c r="A6" s="265">
        <v>1</v>
      </c>
      <c r="B6" s="265"/>
      <c r="C6" s="61" t="s">
        <v>0</v>
      </c>
      <c r="D6" s="106">
        <f>E6/$E$32</f>
        <v>0</v>
      </c>
      <c r="E6" s="192">
        <f>_1</f>
        <v>10000</v>
      </c>
      <c r="F6" s="231"/>
      <c r="G6" s="231"/>
      <c r="H6" s="191">
        <v>0</v>
      </c>
      <c r="I6" s="192">
        <f>E6*H6</f>
        <v>0</v>
      </c>
      <c r="J6" s="29"/>
    </row>
    <row r="7" spans="1:10" ht="3.95" customHeight="1" x14ac:dyDescent="0.2">
      <c r="B7" s="3"/>
      <c r="D7" s="107"/>
      <c r="E7" s="36"/>
      <c r="F7" s="28"/>
      <c r="G7" s="28"/>
      <c r="H7" s="193"/>
      <c r="I7" s="36"/>
      <c r="J7" s="36"/>
    </row>
    <row r="8" spans="1:10" s="10" customFormat="1" ht="12.95" customHeight="1" x14ac:dyDescent="0.2">
      <c r="A8" s="265">
        <v>2</v>
      </c>
      <c r="B8" s="265"/>
      <c r="C8" s="61" t="s">
        <v>1</v>
      </c>
      <c r="D8" s="106">
        <f>E8/$E$32</f>
        <v>0.30499999999999999</v>
      </c>
      <c r="E8" s="192">
        <f>_2</f>
        <v>9000000</v>
      </c>
      <c r="F8" s="231"/>
      <c r="G8" s="231"/>
      <c r="H8" s="194">
        <v>0</v>
      </c>
      <c r="I8" s="192">
        <f>E8*H8</f>
        <v>0</v>
      </c>
      <c r="J8" s="29"/>
    </row>
    <row r="9" spans="1:10" ht="3.95" customHeight="1" x14ac:dyDescent="0.2">
      <c r="D9" s="107"/>
      <c r="E9" s="29"/>
      <c r="F9" s="28"/>
      <c r="G9" s="28"/>
      <c r="H9" s="193"/>
      <c r="I9" s="29"/>
      <c r="J9" s="29"/>
    </row>
    <row r="10" spans="1:10" s="9" customFormat="1" ht="12.95" customHeight="1" x14ac:dyDescent="0.2">
      <c r="A10" s="265">
        <v>3</v>
      </c>
      <c r="B10" s="265"/>
      <c r="C10" s="61" t="s">
        <v>7</v>
      </c>
      <c r="D10" s="106">
        <f>E10/$E$32</f>
        <v>0.193</v>
      </c>
      <c r="E10" s="195">
        <f>_3</f>
        <v>5700000</v>
      </c>
      <c r="F10" s="231"/>
      <c r="G10" s="231"/>
      <c r="H10" s="193"/>
      <c r="I10" s="29"/>
      <c r="J10" s="29"/>
    </row>
    <row r="11" spans="1:10" ht="12.95" customHeight="1" x14ac:dyDescent="0.2">
      <c r="A11" s="188">
        <v>3</v>
      </c>
      <c r="B11" s="63" t="s">
        <v>17</v>
      </c>
      <c r="C11" s="64" t="s">
        <v>18</v>
      </c>
      <c r="D11" s="108"/>
      <c r="E11" s="228">
        <f>_3.01</f>
        <v>900000</v>
      </c>
      <c r="F11" s="231"/>
      <c r="G11" s="231"/>
      <c r="H11" s="194">
        <v>0</v>
      </c>
      <c r="I11" s="197">
        <f t="shared" ref="I11:I18" si="0">E11*H11</f>
        <v>0</v>
      </c>
      <c r="J11" s="29"/>
    </row>
    <row r="12" spans="1:10" ht="12.95" customHeight="1" x14ac:dyDescent="0.2">
      <c r="A12" s="189">
        <v>3</v>
      </c>
      <c r="B12" s="66" t="s">
        <v>19</v>
      </c>
      <c r="C12" s="67" t="s">
        <v>26</v>
      </c>
      <c r="D12" s="109"/>
      <c r="E12" s="229">
        <f>_3.02</f>
        <v>1200000</v>
      </c>
      <c r="F12" s="231"/>
      <c r="G12" s="231"/>
      <c r="H12" s="194">
        <v>0</v>
      </c>
      <c r="I12" s="198">
        <f t="shared" si="0"/>
        <v>0</v>
      </c>
      <c r="J12" s="29"/>
    </row>
    <row r="13" spans="1:10" ht="12.95" customHeight="1" x14ac:dyDescent="0.2">
      <c r="A13" s="189">
        <v>3</v>
      </c>
      <c r="B13" s="66" t="s">
        <v>20</v>
      </c>
      <c r="C13" s="67" t="s">
        <v>27</v>
      </c>
      <c r="D13" s="109"/>
      <c r="E13" s="230">
        <f>_3.03</f>
        <v>1000000</v>
      </c>
      <c r="F13" s="231"/>
      <c r="G13" s="231"/>
      <c r="H13" s="194">
        <v>0</v>
      </c>
      <c r="I13" s="198">
        <f t="shared" si="0"/>
        <v>0</v>
      </c>
      <c r="J13" s="29"/>
    </row>
    <row r="14" spans="1:10" ht="12.95" customHeight="1" x14ac:dyDescent="0.2">
      <c r="A14" s="189">
        <v>3</v>
      </c>
      <c r="B14" s="66" t="s">
        <v>21</v>
      </c>
      <c r="C14" s="67" t="s">
        <v>28</v>
      </c>
      <c r="D14" s="109"/>
      <c r="E14" s="230">
        <f>_3.04</f>
        <v>1500000</v>
      </c>
      <c r="F14" s="231"/>
      <c r="G14" s="231"/>
      <c r="H14" s="194">
        <v>1</v>
      </c>
      <c r="I14" s="198">
        <f t="shared" si="0"/>
        <v>1500000</v>
      </c>
      <c r="J14" s="29"/>
    </row>
    <row r="15" spans="1:10" ht="12.95" customHeight="1" x14ac:dyDescent="0.2">
      <c r="A15" s="189">
        <v>3</v>
      </c>
      <c r="B15" s="66" t="s">
        <v>22</v>
      </c>
      <c r="C15" s="67" t="s">
        <v>31</v>
      </c>
      <c r="D15" s="109"/>
      <c r="E15" s="230">
        <f>_3.05</f>
        <v>600000</v>
      </c>
      <c r="F15" s="231"/>
      <c r="G15" s="231"/>
      <c r="H15" s="194">
        <v>1</v>
      </c>
      <c r="I15" s="198">
        <f t="shared" si="0"/>
        <v>600000</v>
      </c>
      <c r="J15" s="29"/>
    </row>
    <row r="16" spans="1:10" ht="12.95" customHeight="1" x14ac:dyDescent="0.2">
      <c r="A16" s="189">
        <v>3</v>
      </c>
      <c r="B16" s="66" t="s">
        <v>23</v>
      </c>
      <c r="C16" s="67" t="s">
        <v>29</v>
      </c>
      <c r="D16" s="109"/>
      <c r="E16" s="230">
        <f>_3.06</f>
        <v>150000</v>
      </c>
      <c r="F16" s="231"/>
      <c r="G16" s="231"/>
      <c r="H16" s="194">
        <v>0</v>
      </c>
      <c r="I16" s="198">
        <f t="shared" si="0"/>
        <v>0</v>
      </c>
      <c r="J16" s="29"/>
    </row>
    <row r="17" spans="1:10" ht="12.95" customHeight="1" x14ac:dyDescent="0.2">
      <c r="A17" s="189">
        <v>3</v>
      </c>
      <c r="B17" s="66" t="s">
        <v>24</v>
      </c>
      <c r="C17" s="67" t="s">
        <v>30</v>
      </c>
      <c r="D17" s="109"/>
      <c r="E17" s="230">
        <f>_3.07</f>
        <v>50000</v>
      </c>
      <c r="F17" s="231"/>
      <c r="G17" s="231"/>
      <c r="H17" s="194">
        <v>0</v>
      </c>
      <c r="I17" s="198">
        <f t="shared" si="0"/>
        <v>0</v>
      </c>
      <c r="J17" s="29"/>
    </row>
    <row r="18" spans="1:10" ht="12.95" customHeight="1" x14ac:dyDescent="0.2">
      <c r="A18" s="189">
        <v>3</v>
      </c>
      <c r="B18" s="66" t="s">
        <v>25</v>
      </c>
      <c r="C18" s="67" t="s">
        <v>8</v>
      </c>
      <c r="D18" s="109"/>
      <c r="E18" s="230">
        <f>_3.08</f>
        <v>300000</v>
      </c>
      <c r="F18" s="231"/>
      <c r="G18" s="231"/>
      <c r="H18" s="194">
        <v>0</v>
      </c>
      <c r="I18" s="199">
        <f t="shared" si="0"/>
        <v>0</v>
      </c>
      <c r="J18" s="29"/>
    </row>
    <row r="19" spans="1:10" ht="3.95" customHeight="1" x14ac:dyDescent="0.2">
      <c r="D19" s="107"/>
      <c r="E19" s="29"/>
      <c r="F19" s="28"/>
      <c r="G19" s="28"/>
      <c r="H19" s="200"/>
      <c r="I19" s="29"/>
      <c r="J19" s="138"/>
    </row>
    <row r="20" spans="1:10" s="9" customFormat="1" ht="12.75" customHeight="1" x14ac:dyDescent="0.2">
      <c r="A20" s="265">
        <v>4</v>
      </c>
      <c r="B20" s="265"/>
      <c r="C20" s="61" t="s">
        <v>2</v>
      </c>
      <c r="D20" s="106">
        <f>E20/$E$32</f>
        <v>0.20300000000000001</v>
      </c>
      <c r="E20" s="192">
        <f>_4</f>
        <v>6000000</v>
      </c>
      <c r="F20" s="231"/>
      <c r="G20" s="231"/>
      <c r="H20" s="194">
        <v>0</v>
      </c>
      <c r="I20" s="192">
        <f>E20*H20</f>
        <v>0</v>
      </c>
      <c r="J20" s="29"/>
    </row>
    <row r="21" spans="1:10" ht="3.95" customHeight="1" x14ac:dyDescent="0.2">
      <c r="B21" s="3"/>
      <c r="D21" s="107"/>
      <c r="E21" s="29"/>
      <c r="F21" s="28"/>
      <c r="G21" s="28"/>
      <c r="H21" s="193"/>
      <c r="I21" s="29"/>
      <c r="J21" s="28"/>
    </row>
    <row r="22" spans="1:10" s="10" customFormat="1" ht="12.95" customHeight="1" x14ac:dyDescent="0.2">
      <c r="A22" s="265">
        <v>5</v>
      </c>
      <c r="B22" s="265"/>
      <c r="C22" s="61" t="s">
        <v>9</v>
      </c>
      <c r="D22" s="106">
        <f>E22/$E$32</f>
        <v>5.6000000000000001E-2</v>
      </c>
      <c r="E22" s="197">
        <f>_5</f>
        <v>1650000</v>
      </c>
      <c r="F22" s="231"/>
      <c r="G22" s="231"/>
      <c r="H22" s="194">
        <v>0</v>
      </c>
      <c r="I22" s="192">
        <f>E22*H22</f>
        <v>0</v>
      </c>
      <c r="J22" s="29"/>
    </row>
    <row r="23" spans="1:10" ht="3.95" customHeight="1" x14ac:dyDescent="0.2">
      <c r="D23" s="107"/>
      <c r="E23" s="29"/>
      <c r="F23" s="28"/>
      <c r="G23" s="28"/>
      <c r="H23" s="193"/>
      <c r="I23" s="29"/>
      <c r="J23" s="29"/>
    </row>
    <row r="24" spans="1:10" s="9" customFormat="1" ht="12.95" customHeight="1" x14ac:dyDescent="0.2">
      <c r="A24" s="265">
        <v>6</v>
      </c>
      <c r="B24" s="265"/>
      <c r="C24" s="61" t="s">
        <v>3</v>
      </c>
      <c r="D24" s="106">
        <f>E24/$E$32</f>
        <v>1.7000000000000001E-2</v>
      </c>
      <c r="E24" s="192">
        <f>_6</f>
        <v>500000</v>
      </c>
      <c r="F24" s="231"/>
      <c r="G24" s="231"/>
      <c r="H24" s="194">
        <v>0</v>
      </c>
      <c r="I24" s="192">
        <f>E24*H24</f>
        <v>0</v>
      </c>
      <c r="J24" s="29"/>
    </row>
    <row r="25" spans="1:10" ht="3.95" customHeight="1" x14ac:dyDescent="0.2">
      <c r="B25" s="12"/>
      <c r="D25" s="110"/>
      <c r="E25" s="29"/>
      <c r="F25" s="28"/>
      <c r="G25" s="28"/>
      <c r="H25" s="193"/>
      <c r="I25" s="29"/>
      <c r="J25" s="29"/>
    </row>
    <row r="26" spans="1:10" s="10" customFormat="1" ht="12.95" customHeight="1" x14ac:dyDescent="0.2">
      <c r="A26" s="265">
        <v>7</v>
      </c>
      <c r="B26" s="265"/>
      <c r="C26" s="61" t="s">
        <v>66</v>
      </c>
      <c r="D26" s="106">
        <f>E26/$E$32</f>
        <v>0.16900000000000001</v>
      </c>
      <c r="E26" s="192">
        <f>_7</f>
        <v>5000000</v>
      </c>
      <c r="F26" s="231"/>
      <c r="G26" s="231"/>
      <c r="H26" s="194">
        <v>0</v>
      </c>
      <c r="I26" s="192">
        <f>E26*H26</f>
        <v>0</v>
      </c>
      <c r="J26" s="29"/>
    </row>
    <row r="27" spans="1:10" ht="3.95" customHeight="1" x14ac:dyDescent="0.2">
      <c r="D27" s="110"/>
      <c r="E27" s="29"/>
      <c r="F27" s="28"/>
      <c r="G27" s="28"/>
      <c r="H27" s="193"/>
      <c r="I27" s="29"/>
      <c r="J27" s="29"/>
    </row>
    <row r="28" spans="1:10" s="10" customFormat="1" ht="12.95" customHeight="1" x14ac:dyDescent="0.2">
      <c r="A28" s="265">
        <v>8</v>
      </c>
      <c r="B28" s="265"/>
      <c r="C28" s="61" t="s">
        <v>84</v>
      </c>
      <c r="D28" s="106">
        <f>E28/$E$32</f>
        <v>1E-3</v>
      </c>
      <c r="E28" s="192">
        <f>_8</f>
        <v>40000</v>
      </c>
      <c r="F28" s="231"/>
      <c r="G28" s="231"/>
      <c r="H28" s="194">
        <v>0</v>
      </c>
      <c r="I28" s="192">
        <f>E28*H28</f>
        <v>0</v>
      </c>
      <c r="J28" s="29"/>
    </row>
    <row r="29" spans="1:10" ht="3.95" customHeight="1" x14ac:dyDescent="0.2">
      <c r="D29" s="110"/>
      <c r="E29" s="29"/>
      <c r="F29" s="28"/>
      <c r="G29" s="28"/>
      <c r="H29" s="200"/>
      <c r="I29" s="29"/>
      <c r="J29" s="138"/>
    </row>
    <row r="30" spans="1:10" s="10" customFormat="1" ht="12.95" customHeight="1" x14ac:dyDescent="0.2">
      <c r="A30" s="265">
        <v>9</v>
      </c>
      <c r="B30" s="265"/>
      <c r="C30" s="61" t="s">
        <v>10</v>
      </c>
      <c r="D30" s="106">
        <f>E30/$E$32</f>
        <v>5.3999999999999999E-2</v>
      </c>
      <c r="E30" s="192">
        <f>_9</f>
        <v>1600000</v>
      </c>
      <c r="F30" s="231"/>
      <c r="G30" s="231"/>
      <c r="H30" s="194">
        <v>0.05</v>
      </c>
      <c r="I30" s="192">
        <f>E30*H30</f>
        <v>80000</v>
      </c>
      <c r="J30" s="29"/>
    </row>
    <row r="31" spans="1:10" ht="9.9499999999999993" customHeight="1" x14ac:dyDescent="0.2">
      <c r="B31" s="12"/>
      <c r="D31" s="27"/>
      <c r="E31" s="29"/>
      <c r="F31" s="28"/>
      <c r="G31" s="28"/>
      <c r="H31" s="201"/>
      <c r="I31" s="29"/>
      <c r="J31" s="1"/>
    </row>
    <row r="32" spans="1:10" ht="12.95" customHeight="1" x14ac:dyDescent="0.2">
      <c r="A32" s="165" t="s">
        <v>12</v>
      </c>
      <c r="B32" s="166"/>
      <c r="C32" s="166"/>
      <c r="D32" s="57">
        <f>SUM(D6:D30)</f>
        <v>1</v>
      </c>
      <c r="E32" s="202">
        <f>_EK</f>
        <v>29500000</v>
      </c>
      <c r="F32" s="201"/>
      <c r="G32" s="201"/>
      <c r="H32" s="201"/>
      <c r="I32" s="201"/>
      <c r="J32" s="18"/>
    </row>
    <row r="33" spans="1:11" ht="3.95" customHeight="1" x14ac:dyDescent="0.25">
      <c r="B33" s="170"/>
      <c r="D33" s="27"/>
      <c r="E33" s="18"/>
      <c r="H33" s="203"/>
      <c r="J33" s="1"/>
    </row>
    <row r="34" spans="1:11" s="9" customFormat="1" ht="12.95" customHeight="1" x14ac:dyDescent="0.2">
      <c r="A34" s="190"/>
      <c r="B34" s="60" t="s">
        <v>85</v>
      </c>
      <c r="C34" s="61"/>
      <c r="D34" s="106"/>
      <c r="E34" s="192">
        <f>_mvB</f>
        <v>120000</v>
      </c>
      <c r="F34" s="231"/>
      <c r="G34" s="231"/>
      <c r="H34" s="194">
        <v>0</v>
      </c>
      <c r="I34" s="192">
        <f>E34*H34</f>
        <v>0</v>
      </c>
    </row>
    <row r="35" spans="1:11" ht="6" customHeight="1" x14ac:dyDescent="0.2">
      <c r="D35" s="27"/>
    </row>
    <row r="36" spans="1:11" s="13" customFormat="1" ht="12.95" customHeight="1" x14ac:dyDescent="0.3">
      <c r="A36" s="167" t="s">
        <v>32</v>
      </c>
      <c r="B36" s="168"/>
      <c r="C36" s="168"/>
      <c r="D36" s="111"/>
      <c r="E36" s="111"/>
      <c r="F36" s="111"/>
      <c r="G36" s="111"/>
      <c r="H36" s="112"/>
      <c r="I36" s="205">
        <f>ROUND(SUM(I6:I34),2)</f>
        <v>2180000</v>
      </c>
      <c r="J36" s="37"/>
    </row>
    <row r="37" spans="1:11" ht="6" customHeight="1" x14ac:dyDescent="0.2">
      <c r="A37" s="86"/>
      <c r="B37" s="86"/>
      <c r="C37" s="86"/>
      <c r="D37" s="86"/>
      <c r="E37" s="86"/>
      <c r="F37" s="86"/>
      <c r="G37" s="86"/>
      <c r="I37" s="102"/>
    </row>
    <row r="38" spans="1:11" ht="12.75" customHeight="1" x14ac:dyDescent="0.2">
      <c r="A38" s="84" t="s">
        <v>83</v>
      </c>
      <c r="B38" s="84"/>
      <c r="C38" s="85"/>
      <c r="D38" s="85"/>
      <c r="E38" s="85"/>
      <c r="F38" s="85"/>
      <c r="G38" s="85"/>
      <c r="H38" s="84"/>
      <c r="I38" s="171"/>
      <c r="J38" s="87"/>
    </row>
    <row r="39" spans="1:11" ht="2.1" customHeight="1" x14ac:dyDescent="0.2">
      <c r="A39" s="86"/>
      <c r="B39" s="86"/>
      <c r="C39" s="86"/>
      <c r="D39" s="86"/>
      <c r="E39" s="86"/>
      <c r="F39" s="86"/>
      <c r="G39" s="86"/>
      <c r="I39" s="102"/>
    </row>
    <row r="40" spans="1:11" ht="12.75" customHeight="1" x14ac:dyDescent="0.2">
      <c r="A40" s="87" t="s">
        <v>56</v>
      </c>
      <c r="B40" s="86"/>
      <c r="C40" s="86"/>
      <c r="D40" s="86"/>
      <c r="E40" s="86"/>
      <c r="F40" s="86"/>
      <c r="G40" s="86"/>
      <c r="I40" s="102"/>
    </row>
    <row r="41" spans="1:11" ht="12.75" customHeight="1" x14ac:dyDescent="0.2">
      <c r="A41" s="14"/>
      <c r="B41" s="14"/>
      <c r="E41" s="88" t="s">
        <v>5</v>
      </c>
      <c r="F41" s="89" t="s">
        <v>4</v>
      </c>
      <c r="G41" s="89"/>
      <c r="H41" s="266" t="s">
        <v>92</v>
      </c>
      <c r="I41" s="266"/>
      <c r="J41" s="34"/>
    </row>
    <row r="42" spans="1:11" ht="12.75" customHeight="1" x14ac:dyDescent="0.2">
      <c r="B42" s="15" t="s">
        <v>40</v>
      </c>
      <c r="C42" s="30"/>
      <c r="D42" s="30"/>
      <c r="E42" s="80">
        <v>23</v>
      </c>
      <c r="F42" s="90" t="s">
        <v>50</v>
      </c>
      <c r="G42" s="89"/>
      <c r="H42" s="206"/>
      <c r="I42" s="207"/>
      <c r="J42" s="34"/>
    </row>
    <row r="43" spans="1:11" ht="12.75" customHeight="1" x14ac:dyDescent="0.2">
      <c r="B43" s="16" t="s">
        <v>41</v>
      </c>
      <c r="C43" s="31"/>
      <c r="D43" s="31"/>
      <c r="E43" s="81">
        <v>2</v>
      </c>
      <c r="F43" s="91" t="s">
        <v>6</v>
      </c>
      <c r="G43" s="89"/>
      <c r="H43" s="208"/>
      <c r="I43" s="209"/>
      <c r="J43" s="34"/>
    </row>
    <row r="44" spans="1:11" ht="12.75" customHeight="1" x14ac:dyDescent="0.2">
      <c r="B44" s="16" t="s">
        <v>42</v>
      </c>
      <c r="C44" s="31"/>
      <c r="D44" s="31"/>
      <c r="E44" s="81">
        <v>1</v>
      </c>
      <c r="F44" s="91" t="s">
        <v>6</v>
      </c>
      <c r="G44" s="89"/>
      <c r="H44" s="208"/>
      <c r="I44" s="209"/>
      <c r="J44" s="34"/>
    </row>
    <row r="45" spans="1:11" ht="12.75" customHeight="1" x14ac:dyDescent="0.2">
      <c r="B45" s="16" t="s">
        <v>43</v>
      </c>
      <c r="C45" s="31"/>
      <c r="D45" s="31"/>
      <c r="E45" s="81">
        <v>2</v>
      </c>
      <c r="F45" s="91" t="s">
        <v>6</v>
      </c>
      <c r="G45" s="89"/>
      <c r="H45" s="208"/>
      <c r="I45" s="209"/>
      <c r="J45" s="34"/>
    </row>
    <row r="46" spans="1:11" ht="4.5" customHeight="1" x14ac:dyDescent="0.2">
      <c r="A46" s="14"/>
      <c r="B46" s="14"/>
      <c r="E46" s="92"/>
      <c r="F46" s="92"/>
      <c r="G46" s="92"/>
      <c r="H46" s="208"/>
      <c r="I46" s="209"/>
      <c r="J46" s="34"/>
    </row>
    <row r="47" spans="1:11" ht="12.75" customHeight="1" x14ac:dyDescent="0.2">
      <c r="B47" s="256"/>
      <c r="C47" s="31" t="s">
        <v>86</v>
      </c>
      <c r="D47" s="31"/>
      <c r="E47" s="81">
        <v>0</v>
      </c>
      <c r="F47" s="91" t="s">
        <v>99</v>
      </c>
      <c r="G47" s="89"/>
      <c r="H47" s="210"/>
      <c r="I47" s="211"/>
      <c r="J47" s="34"/>
      <c r="K47" s="264"/>
    </row>
    <row r="48" spans="1:11" ht="12.75" customHeight="1" x14ac:dyDescent="0.2">
      <c r="B48" s="256"/>
      <c r="C48" s="31" t="s">
        <v>87</v>
      </c>
      <c r="D48" s="31"/>
      <c r="E48" s="81">
        <v>0</v>
      </c>
      <c r="F48" s="91" t="s">
        <v>99</v>
      </c>
      <c r="G48" s="89"/>
      <c r="H48" s="208"/>
      <c r="I48" s="212"/>
      <c r="J48" s="34"/>
    </row>
    <row r="49" spans="1:10" ht="12.75" customHeight="1" x14ac:dyDescent="0.2">
      <c r="B49" s="256"/>
      <c r="C49" s="31" t="s">
        <v>88</v>
      </c>
      <c r="D49" s="31"/>
      <c r="E49" s="81">
        <v>0</v>
      </c>
      <c r="F49" s="91" t="s">
        <v>99</v>
      </c>
      <c r="G49" s="89"/>
      <c r="H49" s="208"/>
      <c r="I49" s="212"/>
      <c r="J49" s="34"/>
    </row>
    <row r="50" spans="1:10" ht="3.95" customHeight="1" x14ac:dyDescent="0.2">
      <c r="B50" s="14"/>
      <c r="C50" s="213"/>
      <c r="D50" s="213"/>
      <c r="E50" s="257"/>
      <c r="F50" s="214"/>
      <c r="G50" s="215"/>
      <c r="I50" s="172"/>
      <c r="J50" s="34"/>
    </row>
    <row r="51" spans="1:10" ht="12.75" customHeight="1" x14ac:dyDescent="0.2">
      <c r="B51" s="14" t="s">
        <v>39</v>
      </c>
      <c r="C51" s="93"/>
      <c r="D51" s="94"/>
      <c r="E51" s="105">
        <f>SUM(E42:E49)</f>
        <v>28</v>
      </c>
      <c r="F51" s="94"/>
      <c r="G51" s="94"/>
      <c r="I51" s="172"/>
      <c r="J51" s="1"/>
    </row>
    <row r="52" spans="1:10" ht="3.95" customHeight="1" x14ac:dyDescent="0.2">
      <c r="B52" s="14"/>
      <c r="C52" s="94"/>
      <c r="D52" s="94"/>
      <c r="E52" s="94"/>
      <c r="F52" s="94"/>
      <c r="G52" s="94"/>
      <c r="I52" s="172"/>
      <c r="J52" s="1"/>
    </row>
    <row r="53" spans="1:10" ht="12.95" customHeight="1" x14ac:dyDescent="0.2">
      <c r="A53" s="87" t="s">
        <v>15</v>
      </c>
      <c r="B53" s="87"/>
      <c r="C53" s="86"/>
      <c r="D53" s="86"/>
      <c r="E53" s="86"/>
      <c r="F53" s="86"/>
      <c r="G53" s="86"/>
      <c r="H53" s="173"/>
      <c r="I53" s="1"/>
    </row>
    <row r="54" spans="1:10" ht="4.5" customHeight="1" x14ac:dyDescent="0.2">
      <c r="A54" s="87"/>
      <c r="B54" s="87"/>
      <c r="C54" s="87"/>
      <c r="I54" s="1"/>
    </row>
    <row r="55" spans="1:10" ht="12.75" customHeight="1" x14ac:dyDescent="0.2">
      <c r="A55" s="95" t="s">
        <v>11</v>
      </c>
      <c r="B55" s="95"/>
      <c r="E55" s="113">
        <f>I36</f>
        <v>2180000</v>
      </c>
      <c r="I55" s="1"/>
    </row>
    <row r="56" spans="1:10" ht="3.95" customHeight="1" x14ac:dyDescent="0.25">
      <c r="A56" s="14"/>
      <c r="B56" s="14"/>
      <c r="C56" s="14"/>
      <c r="D56" s="14"/>
      <c r="E56" s="93"/>
      <c r="I56"/>
    </row>
    <row r="57" spans="1:10" ht="12.75" customHeight="1" x14ac:dyDescent="0.2">
      <c r="A57" s="14" t="s">
        <v>52</v>
      </c>
      <c r="B57" s="14"/>
      <c r="E57" s="174">
        <f>0.03*E51+0.73</f>
        <v>1.57</v>
      </c>
      <c r="F57" s="271" t="str">
        <f>IF(I36&lt;50000,"! gemäß TA.9 (3): Ist die Bemessungsgrundlage niedriger als 50.000 €, sollte der Ermittlungsweg über Abschätzung des Büro- / Personalaufwandes gewählt werden","")</f>
        <v/>
      </c>
      <c r="G57" s="271"/>
      <c r="H57" s="271"/>
      <c r="I57" s="271"/>
    </row>
    <row r="58" spans="1:10" ht="3.95" customHeight="1" x14ac:dyDescent="0.2">
      <c r="A58" s="14"/>
      <c r="B58" s="14"/>
      <c r="E58" s="24"/>
      <c r="F58" s="271"/>
      <c r="G58" s="271"/>
      <c r="H58" s="271"/>
      <c r="I58" s="271"/>
    </row>
    <row r="59" spans="1:10" ht="12.75" customHeight="1" x14ac:dyDescent="0.2">
      <c r="A59" s="14" t="s">
        <v>54</v>
      </c>
      <c r="B59" s="14"/>
      <c r="E59" s="185">
        <f>ROUND(IF(E55&lt;2000000,202*E55^(-0.2248)*E57/100,(37.8*E55^(-0.109)*E57/100)),6)</f>
        <v>0.12092</v>
      </c>
      <c r="F59" s="271"/>
      <c r="G59" s="271"/>
      <c r="H59" s="271"/>
      <c r="I59" s="271"/>
    </row>
    <row r="60" spans="1:10" ht="15.95" customHeight="1" x14ac:dyDescent="0.3">
      <c r="A60" s="19" t="s">
        <v>57</v>
      </c>
      <c r="B60" s="19"/>
      <c r="E60" s="216">
        <f>202*E55^(-0.2248)*E57/100</f>
        <v>0.119225</v>
      </c>
      <c r="F60" s="175" t="str">
        <f>IF(E55&lt;2000000,"(PL + ÖBA)","")</f>
        <v/>
      </c>
      <c r="G60" s="175"/>
      <c r="I60"/>
    </row>
    <row r="61" spans="1:10" ht="15.95" customHeight="1" x14ac:dyDescent="0.3">
      <c r="A61" s="19" t="s">
        <v>58</v>
      </c>
      <c r="B61" s="19"/>
      <c r="C61" s="19"/>
      <c r="E61" s="216">
        <f>37.8*E55^(-0.109)*E57/100</f>
        <v>0.12092</v>
      </c>
      <c r="F61" s="217" t="str">
        <f>IF(E55&gt;1999999.99,"(PL + ÖBA)","")</f>
        <v>(PL + ÖBA)</v>
      </c>
      <c r="G61" s="217"/>
      <c r="I61"/>
    </row>
    <row r="62" spans="1:10" ht="13.5" customHeight="1" x14ac:dyDescent="0.25">
      <c r="A62" s="19" t="s">
        <v>68</v>
      </c>
      <c r="B62" s="19"/>
      <c r="C62" s="19"/>
      <c r="E62" s="115">
        <v>0</v>
      </c>
      <c r="F62" s="217"/>
      <c r="H62" s="1"/>
      <c r="I62"/>
    </row>
    <row r="63" spans="1:10" ht="2.1" customHeight="1" x14ac:dyDescent="0.25">
      <c r="A63" s="14"/>
      <c r="B63" s="14"/>
      <c r="E63" s="96"/>
      <c r="F63" s="96"/>
      <c r="G63" s="96"/>
      <c r="H63" s="1"/>
      <c r="I63"/>
    </row>
    <row r="64" spans="1:10" ht="15" customHeight="1" x14ac:dyDescent="0.3">
      <c r="A64" s="17" t="s">
        <v>79</v>
      </c>
      <c r="B64" s="15"/>
      <c r="C64" s="97"/>
      <c r="D64" s="97"/>
      <c r="E64" s="98"/>
      <c r="F64" s="218">
        <f>ROUND(E55*E59*(1+E62),2)</f>
        <v>263606</v>
      </c>
      <c r="G64" s="217"/>
      <c r="I64" s="1"/>
    </row>
    <row r="65" spans="1:11" ht="12.95" customHeight="1" x14ac:dyDescent="0.2">
      <c r="A65" s="19"/>
      <c r="B65" s="14"/>
      <c r="C65" s="86"/>
      <c r="D65" s="219" t="s">
        <v>80</v>
      </c>
      <c r="E65" s="220" t="s">
        <v>5</v>
      </c>
      <c r="F65" s="99"/>
      <c r="G65" s="221"/>
      <c r="H65" s="88"/>
      <c r="I65" s="25"/>
    </row>
    <row r="66" spans="1:11" ht="12.75" customHeight="1" x14ac:dyDescent="0.2">
      <c r="A66" s="86" t="s">
        <v>47</v>
      </c>
      <c r="B66" s="86"/>
      <c r="D66" s="186">
        <v>0.02</v>
      </c>
      <c r="E66" s="114">
        <v>0.02</v>
      </c>
      <c r="F66" s="102">
        <f t="shared" ref="F66:F75" si="1">$F$64*E66</f>
        <v>5272</v>
      </c>
      <c r="G66" s="222"/>
      <c r="H66" s="258"/>
      <c r="I66" s="102"/>
    </row>
    <row r="67" spans="1:11" ht="12.75" customHeight="1" x14ac:dyDescent="0.2">
      <c r="A67" s="86" t="s">
        <v>33</v>
      </c>
      <c r="B67" s="86"/>
      <c r="D67" s="186">
        <v>0.09</v>
      </c>
      <c r="E67" s="115">
        <v>0.09</v>
      </c>
      <c r="F67" s="102">
        <f t="shared" si="1"/>
        <v>23725</v>
      </c>
      <c r="G67" s="223"/>
      <c r="H67" s="259"/>
      <c r="I67" s="102"/>
    </row>
    <row r="68" spans="1:11" ht="12.75" customHeight="1" x14ac:dyDescent="0.2">
      <c r="A68" s="86" t="s">
        <v>34</v>
      </c>
      <c r="B68" s="86"/>
      <c r="D68" s="186">
        <v>0.16</v>
      </c>
      <c r="E68" s="115">
        <v>0.16</v>
      </c>
      <c r="F68" s="102">
        <f t="shared" si="1"/>
        <v>42177</v>
      </c>
      <c r="G68" s="223"/>
      <c r="H68" s="259"/>
      <c r="I68" s="102"/>
    </row>
    <row r="69" spans="1:11" ht="12.75" customHeight="1" x14ac:dyDescent="0.2">
      <c r="A69" s="86" t="s">
        <v>35</v>
      </c>
      <c r="B69" s="86"/>
      <c r="D69" s="186">
        <v>0.05</v>
      </c>
      <c r="E69" s="115">
        <v>0.05</v>
      </c>
      <c r="F69" s="102">
        <f t="shared" si="1"/>
        <v>13180</v>
      </c>
      <c r="G69" s="223"/>
      <c r="H69" s="259"/>
      <c r="I69" s="102"/>
      <c r="K69" s="1" t="s">
        <v>59</v>
      </c>
    </row>
    <row r="70" spans="1:11" ht="12.75" customHeight="1" x14ac:dyDescent="0.2">
      <c r="A70" s="86" t="s">
        <v>36</v>
      </c>
      <c r="B70" s="86"/>
      <c r="D70" s="186">
        <v>0.2</v>
      </c>
      <c r="E70" s="115">
        <v>0.2</v>
      </c>
      <c r="F70" s="102">
        <f t="shared" si="1"/>
        <v>52721</v>
      </c>
      <c r="G70" s="223"/>
      <c r="H70" s="259"/>
      <c r="I70" s="102"/>
    </row>
    <row r="71" spans="1:11" ht="12.75" customHeight="1" x14ac:dyDescent="0.2">
      <c r="A71" s="86" t="s">
        <v>37</v>
      </c>
      <c r="B71" s="86"/>
      <c r="D71" s="186">
        <v>0.05</v>
      </c>
      <c r="E71" s="115">
        <v>0.05</v>
      </c>
      <c r="F71" s="102">
        <f t="shared" si="1"/>
        <v>13180</v>
      </c>
      <c r="G71" s="222"/>
      <c r="H71" s="258"/>
      <c r="I71" s="102"/>
    </row>
    <row r="72" spans="1:11" ht="12.75" customHeight="1" x14ac:dyDescent="0.2">
      <c r="A72" s="86" t="s">
        <v>51</v>
      </c>
      <c r="B72" s="86"/>
      <c r="D72" s="186">
        <v>0.02</v>
      </c>
      <c r="E72" s="115">
        <v>0.02</v>
      </c>
      <c r="F72" s="102">
        <f t="shared" si="1"/>
        <v>5272</v>
      </c>
      <c r="G72" s="223"/>
      <c r="H72" s="259"/>
      <c r="I72" s="102"/>
    </row>
    <row r="73" spans="1:11" ht="12.75" customHeight="1" x14ac:dyDescent="0.2">
      <c r="A73" s="86" t="s">
        <v>48</v>
      </c>
      <c r="B73" s="86"/>
      <c r="D73" s="186">
        <v>0.04</v>
      </c>
      <c r="E73" s="115">
        <v>0.04</v>
      </c>
      <c r="F73" s="102">
        <f t="shared" si="1"/>
        <v>10544</v>
      </c>
      <c r="G73" s="223"/>
      <c r="H73" s="259"/>
      <c r="I73" s="102"/>
    </row>
    <row r="74" spans="1:11" ht="12.75" customHeight="1" x14ac:dyDescent="0.2">
      <c r="A74" s="86" t="s">
        <v>53</v>
      </c>
      <c r="B74" s="86"/>
      <c r="D74" s="186">
        <v>0.35</v>
      </c>
      <c r="E74" s="115">
        <v>0.35</v>
      </c>
      <c r="F74" s="102">
        <f t="shared" si="1"/>
        <v>92262</v>
      </c>
      <c r="G74" s="223"/>
      <c r="H74" s="259"/>
      <c r="I74" s="102"/>
    </row>
    <row r="75" spans="1:11" ht="12.75" customHeight="1" x14ac:dyDescent="0.2">
      <c r="A75" s="97" t="s">
        <v>49</v>
      </c>
      <c r="B75" s="97"/>
      <c r="C75" s="30"/>
      <c r="D75" s="187">
        <v>0.02</v>
      </c>
      <c r="E75" s="116">
        <v>0.02</v>
      </c>
      <c r="F75" s="103">
        <f t="shared" si="1"/>
        <v>5272</v>
      </c>
      <c r="G75" s="224"/>
      <c r="H75" s="260"/>
      <c r="I75" s="103"/>
    </row>
    <row r="76" spans="1:11" s="244" customFormat="1" ht="18.600000000000001" customHeight="1" x14ac:dyDescent="0.25">
      <c r="A76" s="242" t="s">
        <v>38</v>
      </c>
      <c r="B76" s="243"/>
      <c r="D76" s="263">
        <f>SUM(D66:D75)</f>
        <v>1</v>
      </c>
      <c r="E76" s="245">
        <f>SUM(E66:E75)</f>
        <v>1</v>
      </c>
      <c r="F76" s="246">
        <f>SUM(F66:F75)</f>
        <v>263605</v>
      </c>
      <c r="G76" s="247"/>
      <c r="H76" s="245"/>
      <c r="I76" s="246"/>
      <c r="J76" s="248"/>
    </row>
    <row r="77" spans="1:11" ht="12.75" customHeight="1" x14ac:dyDescent="0.2">
      <c r="A77" s="249" t="s">
        <v>93</v>
      </c>
      <c r="B77" s="100"/>
      <c r="D77" s="225">
        <v>0.02</v>
      </c>
      <c r="E77" s="114">
        <v>0.02</v>
      </c>
      <c r="F77" s="102">
        <f t="shared" ref="F77:F84" si="2">$F$64*E77</f>
        <v>5272</v>
      </c>
      <c r="G77" s="101"/>
      <c r="H77" s="102"/>
      <c r="I77" s="70"/>
    </row>
    <row r="78" spans="1:11" ht="12.75" customHeight="1" x14ac:dyDescent="0.2">
      <c r="A78" s="249" t="s">
        <v>94</v>
      </c>
      <c r="B78" s="100"/>
      <c r="D78" s="225">
        <v>1.4999999999999999E-2</v>
      </c>
      <c r="E78" s="115">
        <v>0</v>
      </c>
      <c r="F78" s="102">
        <f t="shared" si="2"/>
        <v>0</v>
      </c>
      <c r="G78" s="101"/>
      <c r="H78" s="102"/>
      <c r="I78" s="70"/>
    </row>
    <row r="79" spans="1:11" ht="12.75" customHeight="1" x14ac:dyDescent="0.2">
      <c r="A79" s="249" t="s">
        <v>95</v>
      </c>
      <c r="B79" s="100"/>
      <c r="D79" s="225">
        <v>2.5000000000000001E-2</v>
      </c>
      <c r="E79" s="115">
        <v>0</v>
      </c>
      <c r="F79" s="102">
        <f t="shared" si="2"/>
        <v>0</v>
      </c>
      <c r="G79" s="101"/>
      <c r="H79" s="102"/>
      <c r="I79" s="70"/>
    </row>
    <row r="80" spans="1:11" ht="12.75" customHeight="1" x14ac:dyDescent="0.2">
      <c r="A80" s="249" t="s">
        <v>96</v>
      </c>
      <c r="B80" s="100"/>
      <c r="D80" s="225">
        <v>0.03</v>
      </c>
      <c r="E80" s="226">
        <v>0</v>
      </c>
      <c r="F80" s="102">
        <f t="shared" si="2"/>
        <v>0</v>
      </c>
      <c r="G80" s="101"/>
      <c r="H80" s="102"/>
      <c r="I80" s="70"/>
    </row>
    <row r="81" spans="1:13" ht="12.75" customHeight="1" x14ac:dyDescent="0.2">
      <c r="A81" s="249" t="s">
        <v>97</v>
      </c>
      <c r="B81" s="100"/>
      <c r="D81" s="225">
        <v>0.02</v>
      </c>
      <c r="E81" s="227">
        <v>0</v>
      </c>
      <c r="F81" s="102">
        <f t="shared" si="2"/>
        <v>0</v>
      </c>
      <c r="G81" s="101"/>
      <c r="H81" s="102"/>
      <c r="I81" s="70"/>
    </row>
    <row r="82" spans="1:13" ht="12.75" customHeight="1" x14ac:dyDescent="0.2">
      <c r="A82" s="249" t="s">
        <v>98</v>
      </c>
      <c r="B82" s="100"/>
      <c r="D82" s="222">
        <v>0.01</v>
      </c>
      <c r="E82" s="227">
        <v>0</v>
      </c>
      <c r="F82" s="102">
        <f t="shared" si="2"/>
        <v>0</v>
      </c>
      <c r="G82" s="101"/>
      <c r="H82" s="102"/>
      <c r="I82" s="70"/>
    </row>
    <row r="83" spans="1:13" ht="13.5" customHeight="1" x14ac:dyDescent="0.2">
      <c r="A83" s="274" t="s">
        <v>107</v>
      </c>
      <c r="B83" s="100"/>
      <c r="D83" s="222">
        <v>0.01</v>
      </c>
      <c r="E83" s="227">
        <v>0</v>
      </c>
      <c r="F83" s="102">
        <f t="shared" si="2"/>
        <v>0</v>
      </c>
      <c r="G83" s="101"/>
      <c r="H83" s="102"/>
      <c r="I83" s="70"/>
    </row>
    <row r="84" spans="1:13" ht="12.75" customHeight="1" x14ac:dyDescent="0.2">
      <c r="A84" s="275" t="s">
        <v>108</v>
      </c>
      <c r="B84" s="250"/>
      <c r="C84" s="30"/>
      <c r="D84" s="251">
        <v>0.04</v>
      </c>
      <c r="E84" s="116">
        <v>0</v>
      </c>
      <c r="F84" s="103">
        <f t="shared" si="2"/>
        <v>0</v>
      </c>
      <c r="G84" s="261"/>
      <c r="H84" s="103"/>
      <c r="I84" s="252"/>
      <c r="J84" s="1"/>
    </row>
    <row r="85" spans="1:13" ht="12.75" customHeight="1" x14ac:dyDescent="0.2">
      <c r="A85" s="270" t="s">
        <v>104</v>
      </c>
      <c r="B85" s="270"/>
      <c r="C85" s="270"/>
      <c r="D85" s="262">
        <f>SUM(D76:D84)</f>
        <v>1.17</v>
      </c>
      <c r="E85" s="101">
        <f>SUM(E76:E84)</f>
        <v>1.02</v>
      </c>
      <c r="F85" s="247">
        <f>F76+SUM(F77:F84)</f>
        <v>268877</v>
      </c>
      <c r="H85" s="101"/>
      <c r="I85" s="254">
        <f>F85</f>
        <v>268877</v>
      </c>
      <c r="J85" s="1"/>
      <c r="K85" s="8"/>
    </row>
    <row r="86" spans="1:13" ht="12.75" customHeight="1" x14ac:dyDescent="0.2">
      <c r="A86" s="176"/>
      <c r="B86" s="14"/>
      <c r="D86" s="101"/>
      <c r="E86" s="101"/>
      <c r="F86" s="104"/>
      <c r="G86" s="7"/>
      <c r="I86" s="253"/>
      <c r="J86" s="1"/>
    </row>
    <row r="87" spans="1:13" ht="12.75" customHeight="1" x14ac:dyDescent="0.25">
      <c r="A87" s="28" t="s">
        <v>67</v>
      </c>
      <c r="E87" s="232">
        <v>0</v>
      </c>
      <c r="F87" s="169">
        <v>0</v>
      </c>
      <c r="G87" s="7"/>
      <c r="I87" s="70">
        <f>E87*F87</f>
        <v>0</v>
      </c>
      <c r="K87"/>
      <c r="L87"/>
      <c r="M87"/>
    </row>
    <row r="88" spans="1:13" ht="3" customHeight="1" x14ac:dyDescent="0.25">
      <c r="E88" s="177"/>
      <c r="I88"/>
    </row>
    <row r="89" spans="1:13" s="19" customFormat="1" ht="12.75" x14ac:dyDescent="0.2">
      <c r="A89" s="73" t="s">
        <v>69</v>
      </c>
      <c r="B89" s="74"/>
      <c r="C89" s="75"/>
      <c r="D89" s="77"/>
      <c r="E89" s="178"/>
      <c r="F89" s="76"/>
      <c r="G89" s="76"/>
      <c r="H89" s="76"/>
      <c r="I89" s="78">
        <f>I85+I87</f>
        <v>268877</v>
      </c>
    </row>
    <row r="90" spans="1:13" s="19" customFormat="1" ht="3" customHeight="1" x14ac:dyDescent="0.2">
      <c r="B90" s="20"/>
      <c r="C90" s="21"/>
      <c r="D90" s="39"/>
      <c r="E90" s="40"/>
      <c r="F90" s="40"/>
      <c r="G90" s="40"/>
      <c r="I90" s="70"/>
    </row>
    <row r="91" spans="1:13" s="19" customFormat="1" ht="12.75" x14ac:dyDescent="0.2">
      <c r="A91" s="41" t="s">
        <v>13</v>
      </c>
      <c r="B91" s="20"/>
      <c r="C91" s="21"/>
      <c r="D91" s="39"/>
      <c r="E91" s="117">
        <v>0.04</v>
      </c>
      <c r="F91" s="40"/>
      <c r="G91" s="40"/>
      <c r="I91" s="70">
        <f>ROUND(I89*E91,2)</f>
        <v>10755</v>
      </c>
    </row>
    <row r="92" spans="1:13" s="19" customFormat="1" ht="3" customHeight="1" x14ac:dyDescent="0.2">
      <c r="A92" s="42"/>
      <c r="B92" s="43"/>
      <c r="C92" s="44"/>
      <c r="D92" s="48"/>
      <c r="E92" s="118"/>
      <c r="F92" s="52"/>
      <c r="G92" s="52"/>
      <c r="H92" s="42"/>
      <c r="I92" s="72"/>
    </row>
    <row r="93" spans="1:13" s="19" customFormat="1" ht="3" customHeight="1" x14ac:dyDescent="0.2">
      <c r="B93" s="20"/>
      <c r="C93" s="21"/>
      <c r="D93" s="49"/>
      <c r="E93" s="119"/>
      <c r="F93" s="53"/>
      <c r="G93" s="53"/>
      <c r="H93" s="50"/>
      <c r="I93" s="70"/>
    </row>
    <row r="94" spans="1:13" s="19" customFormat="1" ht="12.75" x14ac:dyDescent="0.2">
      <c r="A94" s="45" t="s">
        <v>70</v>
      </c>
      <c r="B94" s="46"/>
      <c r="C94" s="47"/>
      <c r="D94" s="22"/>
      <c r="E94" s="120"/>
      <c r="F94" s="40"/>
      <c r="G94" s="40"/>
      <c r="I94" s="71">
        <f>I89+I91</f>
        <v>279632</v>
      </c>
    </row>
    <row r="95" spans="1:13" s="19" customFormat="1" ht="12.75" x14ac:dyDescent="0.2">
      <c r="A95" s="19" t="s">
        <v>14</v>
      </c>
      <c r="B95" s="20"/>
      <c r="C95" s="21"/>
      <c r="D95" s="22"/>
      <c r="E95" s="23">
        <v>0.2</v>
      </c>
      <c r="F95" s="23"/>
      <c r="G95" s="23"/>
      <c r="I95" s="70">
        <f>ROUND(I94*E95,2)</f>
        <v>55926</v>
      </c>
    </row>
    <row r="96" spans="1:13" s="19" customFormat="1" ht="3" customHeight="1" x14ac:dyDescent="0.2">
      <c r="B96" s="20"/>
      <c r="C96" s="21"/>
      <c r="D96" s="22"/>
      <c r="E96" s="40"/>
      <c r="F96" s="40"/>
      <c r="G96" s="40"/>
      <c r="I96" s="70"/>
    </row>
    <row r="97" spans="1:13" s="19" customFormat="1" ht="12.75" x14ac:dyDescent="0.2">
      <c r="A97" s="121" t="s">
        <v>71</v>
      </c>
      <c r="B97" s="122"/>
      <c r="C97" s="123"/>
      <c r="D97" s="125"/>
      <c r="E97" s="126"/>
      <c r="F97" s="126"/>
      <c r="G97" s="126"/>
      <c r="H97" s="124"/>
      <c r="I97" s="127">
        <f>SUM(I93:I95)</f>
        <v>335558</v>
      </c>
    </row>
    <row r="98" spans="1:13" s="8" customFormat="1" ht="3" customHeight="1" x14ac:dyDescent="0.2">
      <c r="A98" s="1"/>
      <c r="B98" s="6"/>
      <c r="C98" s="1"/>
      <c r="D98" s="1"/>
      <c r="E98" s="1"/>
      <c r="F98" s="1"/>
      <c r="G98" s="1"/>
      <c r="H98" s="7"/>
      <c r="K98" s="1"/>
      <c r="L98" s="1"/>
      <c r="M98" s="1"/>
    </row>
    <row r="99" spans="1:13" ht="12.75" x14ac:dyDescent="0.2">
      <c r="A99" s="128" t="s">
        <v>61</v>
      </c>
      <c r="E99" s="179">
        <f>I94/E32</f>
        <v>9.4789999999999996E-3</v>
      </c>
    </row>
  </sheetData>
  <sheetProtection algorithmName="SHA-512" hashValue="meH8BAuUPC2tZaUljJb8C5JC6XIbsTkoyktFHEpKHbhVB5ya91V0Uvba42Q2VSll96Mg39BtSvsnWK8xuQ7mzg==" saltValue="7fhmgqsRhwJUEXy/aTivTw==" spinCount="100000" sheet="1" objects="1" scenarios="1"/>
  <mergeCells count="13">
    <mergeCell ref="A85:C85"/>
    <mergeCell ref="F57:I59"/>
    <mergeCell ref="H2:I2"/>
    <mergeCell ref="A6:B6"/>
    <mergeCell ref="A8:B8"/>
    <mergeCell ref="A10:B10"/>
    <mergeCell ref="A20:B20"/>
    <mergeCell ref="A22:B22"/>
    <mergeCell ref="A24:B24"/>
    <mergeCell ref="A26:B26"/>
    <mergeCell ref="A28:B28"/>
    <mergeCell ref="A30:B30"/>
    <mergeCell ref="H41:I41"/>
  </mergeCells>
  <conditionalFormatting sqref="E60">
    <cfRule type="expression" dxfId="7" priority="2" stopIfTrue="1">
      <formula>$E$55&gt;1999999.99</formula>
    </cfRule>
  </conditionalFormatting>
  <conditionalFormatting sqref="E61">
    <cfRule type="expression" dxfId="6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&amp;L&amp;"Arial,Fett"&amp;K01+020Angebot TA | Anlagengruppen aufgegliedert
&amp;"Arial,Standard"nach LM.VM.2023&amp;R&amp;"Arial,Standard"&amp;K01+021Version 1
Stand: 15.09.2023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Scroll Bar 5">
              <controlPr defaultSize="0" autoPict="0">
                <anchor moveWithCells="1">
                  <from>
                    <xdr:col>7</xdr:col>
                    <xdr:colOff>19050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Scroll Bar 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Scroll Bar 7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C69E-794F-49F9-8ACF-DB8C7D94EE84}">
  <sheetPr>
    <tabColor theme="5" tint="0.39997558519241921"/>
  </sheetPr>
  <dimension ref="A1:M99"/>
  <sheetViews>
    <sheetView showGridLines="0" zoomScaleNormal="100" zoomScaleSheetLayoutView="85" zoomScalePageLayoutView="70" workbookViewId="0">
      <selection activeCell="F64" sqref="F64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0" width="2.7109375" style="8" customWidth="1"/>
    <col min="11" max="16384" width="11.5703125" style="1"/>
  </cols>
  <sheetData>
    <row r="1" spans="1:10" ht="5.0999999999999996" customHeight="1" x14ac:dyDescent="0.2"/>
    <row r="2" spans="1:10" s="32" customFormat="1" ht="23.25" customHeight="1" x14ac:dyDescent="0.2">
      <c r="A2" s="79" t="s">
        <v>60</v>
      </c>
      <c r="E2" s="33"/>
      <c r="F2" s="33"/>
      <c r="G2" s="33"/>
      <c r="H2" s="267" t="s">
        <v>89</v>
      </c>
      <c r="I2" s="267"/>
      <c r="J2" s="35"/>
    </row>
    <row r="3" spans="1:10" s="9" customFormat="1" ht="2.1" customHeight="1" x14ac:dyDescent="0.25">
      <c r="A3" s="58"/>
      <c r="B3" s="58"/>
      <c r="C3" s="58"/>
      <c r="D3" s="58"/>
      <c r="E3" s="58"/>
      <c r="F3" s="58"/>
      <c r="G3" s="58"/>
      <c r="H3" s="58"/>
      <c r="I3" s="59"/>
      <c r="J3" s="2"/>
    </row>
    <row r="4" spans="1:10" s="9" customFormat="1" ht="2.1" customHeight="1" x14ac:dyDescent="0.25">
      <c r="I4" s="2"/>
      <c r="J4" s="2"/>
    </row>
    <row r="5" spans="1:10" s="9" customFormat="1" ht="12.95" customHeight="1" x14ac:dyDescent="0.25">
      <c r="D5" s="56" t="s">
        <v>55</v>
      </c>
      <c r="E5" s="26" t="s">
        <v>44</v>
      </c>
      <c r="F5" s="26"/>
      <c r="G5" s="26"/>
      <c r="H5" s="11" t="s">
        <v>16</v>
      </c>
      <c r="I5" s="68" t="s">
        <v>45</v>
      </c>
      <c r="J5" s="26"/>
    </row>
    <row r="6" spans="1:10" s="10" customFormat="1" ht="12.95" customHeight="1" x14ac:dyDescent="0.2">
      <c r="A6" s="265">
        <v>1</v>
      </c>
      <c r="B6" s="265"/>
      <c r="C6" s="61" t="s">
        <v>0</v>
      </c>
      <c r="D6" s="106">
        <f>E6/$E$32</f>
        <v>0</v>
      </c>
      <c r="E6" s="192">
        <f>_1</f>
        <v>10000</v>
      </c>
      <c r="F6" s="231"/>
      <c r="G6" s="231"/>
      <c r="H6" s="191">
        <v>0</v>
      </c>
      <c r="I6" s="192">
        <f>E6*H6</f>
        <v>0</v>
      </c>
      <c r="J6" s="29"/>
    </row>
    <row r="7" spans="1:10" ht="3.95" customHeight="1" x14ac:dyDescent="0.2">
      <c r="B7" s="3"/>
      <c r="D7" s="107"/>
      <c r="E7" s="36"/>
      <c r="F7" s="28"/>
      <c r="G7" s="28"/>
      <c r="H7" s="193"/>
      <c r="I7" s="36"/>
      <c r="J7" s="36"/>
    </row>
    <row r="8" spans="1:10" s="10" customFormat="1" ht="12.95" customHeight="1" x14ac:dyDescent="0.2">
      <c r="A8" s="265">
        <v>2</v>
      </c>
      <c r="B8" s="265"/>
      <c r="C8" s="61" t="s">
        <v>1</v>
      </c>
      <c r="D8" s="106">
        <f>E8/$E$32</f>
        <v>0.30499999999999999</v>
      </c>
      <c r="E8" s="192">
        <f>_2</f>
        <v>9000000</v>
      </c>
      <c r="F8" s="231"/>
      <c r="G8" s="231"/>
      <c r="H8" s="194">
        <v>0</v>
      </c>
      <c r="I8" s="192">
        <f>E8*H8</f>
        <v>0</v>
      </c>
      <c r="J8" s="29"/>
    </row>
    <row r="9" spans="1:10" ht="3.95" customHeight="1" x14ac:dyDescent="0.2">
      <c r="D9" s="107"/>
      <c r="E9" s="29"/>
      <c r="F9" s="28"/>
      <c r="G9" s="28"/>
      <c r="H9" s="193"/>
      <c r="I9" s="29"/>
      <c r="J9" s="29"/>
    </row>
    <row r="10" spans="1:10" s="9" customFormat="1" ht="12.95" customHeight="1" x14ac:dyDescent="0.2">
      <c r="A10" s="265">
        <v>3</v>
      </c>
      <c r="B10" s="265"/>
      <c r="C10" s="61" t="s">
        <v>7</v>
      </c>
      <c r="D10" s="106">
        <f>E10/$E$32</f>
        <v>0.193</v>
      </c>
      <c r="E10" s="195">
        <f>_3</f>
        <v>5700000</v>
      </c>
      <c r="F10" s="231"/>
      <c r="G10" s="231"/>
      <c r="H10" s="193"/>
      <c r="I10" s="29"/>
      <c r="J10" s="29"/>
    </row>
    <row r="11" spans="1:10" ht="12.95" customHeight="1" x14ac:dyDescent="0.2">
      <c r="A11" s="188">
        <v>3</v>
      </c>
      <c r="B11" s="63" t="s">
        <v>17</v>
      </c>
      <c r="C11" s="64" t="s">
        <v>18</v>
      </c>
      <c r="D11" s="108"/>
      <c r="E11" s="228">
        <f>_3.01</f>
        <v>900000</v>
      </c>
      <c r="F11" s="231"/>
      <c r="G11" s="231"/>
      <c r="H11" s="194">
        <v>0</v>
      </c>
      <c r="I11" s="197">
        <f t="shared" ref="I11:I18" si="0">E11*H11</f>
        <v>0</v>
      </c>
      <c r="J11" s="29"/>
    </row>
    <row r="12" spans="1:10" ht="12.95" customHeight="1" x14ac:dyDescent="0.2">
      <c r="A12" s="189">
        <v>3</v>
      </c>
      <c r="B12" s="66" t="s">
        <v>19</v>
      </c>
      <c r="C12" s="67" t="s">
        <v>26</v>
      </c>
      <c r="D12" s="109"/>
      <c r="E12" s="229">
        <f>_3.02</f>
        <v>1200000</v>
      </c>
      <c r="F12" s="231"/>
      <c r="G12" s="231"/>
      <c r="H12" s="194">
        <v>0</v>
      </c>
      <c r="I12" s="198">
        <f t="shared" si="0"/>
        <v>0</v>
      </c>
      <c r="J12" s="29"/>
    </row>
    <row r="13" spans="1:10" ht="12.95" customHeight="1" x14ac:dyDescent="0.2">
      <c r="A13" s="189">
        <v>3</v>
      </c>
      <c r="B13" s="66" t="s">
        <v>20</v>
      </c>
      <c r="C13" s="67" t="s">
        <v>27</v>
      </c>
      <c r="D13" s="109"/>
      <c r="E13" s="230">
        <f>_3.03</f>
        <v>1000000</v>
      </c>
      <c r="F13" s="231"/>
      <c r="G13" s="231"/>
      <c r="H13" s="194">
        <v>0</v>
      </c>
      <c r="I13" s="198">
        <f t="shared" si="0"/>
        <v>0</v>
      </c>
      <c r="J13" s="29"/>
    </row>
    <row r="14" spans="1:10" ht="12.95" customHeight="1" x14ac:dyDescent="0.2">
      <c r="A14" s="189">
        <v>3</v>
      </c>
      <c r="B14" s="66" t="s">
        <v>21</v>
      </c>
      <c r="C14" s="67" t="s">
        <v>28</v>
      </c>
      <c r="D14" s="109"/>
      <c r="E14" s="230">
        <f>_3.04</f>
        <v>1500000</v>
      </c>
      <c r="F14" s="231"/>
      <c r="G14" s="231"/>
      <c r="H14" s="194">
        <v>0</v>
      </c>
      <c r="I14" s="198">
        <f t="shared" si="0"/>
        <v>0</v>
      </c>
      <c r="J14" s="29"/>
    </row>
    <row r="15" spans="1:10" ht="12.95" customHeight="1" x14ac:dyDescent="0.2">
      <c r="A15" s="189">
        <v>3</v>
      </c>
      <c r="B15" s="66" t="s">
        <v>22</v>
      </c>
      <c r="C15" s="67" t="s">
        <v>31</v>
      </c>
      <c r="D15" s="109"/>
      <c r="E15" s="230">
        <f>_3.05</f>
        <v>600000</v>
      </c>
      <c r="F15" s="231"/>
      <c r="G15" s="231"/>
      <c r="H15" s="194">
        <v>0</v>
      </c>
      <c r="I15" s="198">
        <f t="shared" si="0"/>
        <v>0</v>
      </c>
      <c r="J15" s="29"/>
    </row>
    <row r="16" spans="1:10" ht="12.95" customHeight="1" x14ac:dyDescent="0.2">
      <c r="A16" s="189">
        <v>3</v>
      </c>
      <c r="B16" s="66" t="s">
        <v>23</v>
      </c>
      <c r="C16" s="67" t="s">
        <v>29</v>
      </c>
      <c r="D16" s="109"/>
      <c r="E16" s="230">
        <f>_3.06</f>
        <v>150000</v>
      </c>
      <c r="F16" s="231"/>
      <c r="G16" s="231"/>
      <c r="H16" s="194">
        <v>1</v>
      </c>
      <c r="I16" s="198">
        <f t="shared" si="0"/>
        <v>150000</v>
      </c>
      <c r="J16" s="29"/>
    </row>
    <row r="17" spans="1:10" ht="12.95" customHeight="1" x14ac:dyDescent="0.2">
      <c r="A17" s="189">
        <v>3</v>
      </c>
      <c r="B17" s="66" t="s">
        <v>24</v>
      </c>
      <c r="C17" s="67" t="s">
        <v>30</v>
      </c>
      <c r="D17" s="109"/>
      <c r="E17" s="230">
        <f>_3.07</f>
        <v>50000</v>
      </c>
      <c r="F17" s="231"/>
      <c r="G17" s="231"/>
      <c r="H17" s="194">
        <v>0</v>
      </c>
      <c r="I17" s="198">
        <f t="shared" si="0"/>
        <v>0</v>
      </c>
      <c r="J17" s="29"/>
    </row>
    <row r="18" spans="1:10" ht="12.95" customHeight="1" x14ac:dyDescent="0.2">
      <c r="A18" s="189">
        <v>3</v>
      </c>
      <c r="B18" s="66" t="s">
        <v>25</v>
      </c>
      <c r="C18" s="67" t="s">
        <v>8</v>
      </c>
      <c r="D18" s="109"/>
      <c r="E18" s="230">
        <f>_3.08</f>
        <v>300000</v>
      </c>
      <c r="F18" s="231"/>
      <c r="G18" s="231"/>
      <c r="H18" s="194">
        <v>0</v>
      </c>
      <c r="I18" s="199">
        <f t="shared" si="0"/>
        <v>0</v>
      </c>
      <c r="J18" s="29"/>
    </row>
    <row r="19" spans="1:10" ht="3.95" customHeight="1" x14ac:dyDescent="0.2">
      <c r="D19" s="107"/>
      <c r="E19" s="29"/>
      <c r="F19" s="28"/>
      <c r="G19" s="28"/>
      <c r="H19" s="200"/>
      <c r="I19" s="29"/>
      <c r="J19" s="138"/>
    </row>
    <row r="20" spans="1:10" s="9" customFormat="1" ht="12.75" customHeight="1" x14ac:dyDescent="0.2">
      <c r="A20" s="265">
        <v>4</v>
      </c>
      <c r="B20" s="265"/>
      <c r="C20" s="61" t="s">
        <v>2</v>
      </c>
      <c r="D20" s="106">
        <f>E20/$E$32</f>
        <v>0.20300000000000001</v>
      </c>
      <c r="E20" s="192">
        <f>_4</f>
        <v>6000000</v>
      </c>
      <c r="F20" s="231"/>
      <c r="G20" s="231"/>
      <c r="H20" s="194">
        <v>0</v>
      </c>
      <c r="I20" s="192">
        <f>E20*H20</f>
        <v>0</v>
      </c>
      <c r="J20" s="29"/>
    </row>
    <row r="21" spans="1:10" ht="3.95" customHeight="1" x14ac:dyDescent="0.2">
      <c r="B21" s="3"/>
      <c r="D21" s="107"/>
      <c r="E21" s="29"/>
      <c r="F21" s="28"/>
      <c r="G21" s="28"/>
      <c r="H21" s="193"/>
      <c r="I21" s="29"/>
      <c r="J21" s="28"/>
    </row>
    <row r="22" spans="1:10" s="10" customFormat="1" ht="12.95" customHeight="1" x14ac:dyDescent="0.2">
      <c r="A22" s="265">
        <v>5</v>
      </c>
      <c r="B22" s="265"/>
      <c r="C22" s="61" t="s">
        <v>9</v>
      </c>
      <c r="D22" s="106">
        <f>E22/$E$32</f>
        <v>5.6000000000000001E-2</v>
      </c>
      <c r="E22" s="197">
        <f>_5</f>
        <v>1650000</v>
      </c>
      <c r="F22" s="231"/>
      <c r="G22" s="231"/>
      <c r="H22" s="194">
        <v>0</v>
      </c>
      <c r="I22" s="192">
        <f>E22*H22</f>
        <v>0</v>
      </c>
      <c r="J22" s="29"/>
    </row>
    <row r="23" spans="1:10" ht="3.95" customHeight="1" x14ac:dyDescent="0.2">
      <c r="D23" s="107"/>
      <c r="E23" s="29"/>
      <c r="F23" s="28"/>
      <c r="G23" s="28"/>
      <c r="H23" s="193"/>
      <c r="I23" s="29"/>
      <c r="J23" s="29"/>
    </row>
    <row r="24" spans="1:10" s="9" customFormat="1" ht="12.95" customHeight="1" x14ac:dyDescent="0.2">
      <c r="A24" s="265">
        <v>6</v>
      </c>
      <c r="B24" s="265"/>
      <c r="C24" s="61" t="s">
        <v>3</v>
      </c>
      <c r="D24" s="106">
        <f>E24/$E$32</f>
        <v>1.7000000000000001E-2</v>
      </c>
      <c r="E24" s="192">
        <f>_6</f>
        <v>500000</v>
      </c>
      <c r="F24" s="231"/>
      <c r="G24" s="231"/>
      <c r="H24" s="194">
        <v>0</v>
      </c>
      <c r="I24" s="192">
        <f>E24*H24</f>
        <v>0</v>
      </c>
      <c r="J24" s="29"/>
    </row>
    <row r="25" spans="1:10" ht="3.95" customHeight="1" x14ac:dyDescent="0.2">
      <c r="B25" s="12"/>
      <c r="D25" s="110"/>
      <c r="E25" s="29"/>
      <c r="F25" s="28"/>
      <c r="G25" s="28"/>
      <c r="H25" s="193"/>
      <c r="I25" s="29"/>
      <c r="J25" s="29"/>
    </row>
    <row r="26" spans="1:10" s="10" customFormat="1" ht="12.95" customHeight="1" x14ac:dyDescent="0.2">
      <c r="A26" s="265">
        <v>7</v>
      </c>
      <c r="B26" s="265"/>
      <c r="C26" s="61" t="s">
        <v>66</v>
      </c>
      <c r="D26" s="106">
        <f>E26/$E$32</f>
        <v>0.16900000000000001</v>
      </c>
      <c r="E26" s="192">
        <f>_7</f>
        <v>5000000</v>
      </c>
      <c r="F26" s="231"/>
      <c r="G26" s="231"/>
      <c r="H26" s="194">
        <v>0</v>
      </c>
      <c r="I26" s="192">
        <f>E26*H26</f>
        <v>0</v>
      </c>
      <c r="J26" s="29"/>
    </row>
    <row r="27" spans="1:10" ht="3.95" customHeight="1" x14ac:dyDescent="0.2">
      <c r="D27" s="110"/>
      <c r="E27" s="29"/>
      <c r="F27" s="28"/>
      <c r="G27" s="28"/>
      <c r="H27" s="193"/>
      <c r="I27" s="29"/>
      <c r="J27" s="29"/>
    </row>
    <row r="28" spans="1:10" s="10" customFormat="1" ht="12.95" customHeight="1" x14ac:dyDescent="0.2">
      <c r="A28" s="265">
        <v>8</v>
      </c>
      <c r="B28" s="265"/>
      <c r="C28" s="61" t="s">
        <v>84</v>
      </c>
      <c r="D28" s="106">
        <f>E28/$E$32</f>
        <v>1E-3</v>
      </c>
      <c r="E28" s="192">
        <f>_8</f>
        <v>40000</v>
      </c>
      <c r="F28" s="231"/>
      <c r="G28" s="231"/>
      <c r="H28" s="194">
        <v>0</v>
      </c>
      <c r="I28" s="192">
        <f>E28*H28</f>
        <v>0</v>
      </c>
      <c r="J28" s="29"/>
    </row>
    <row r="29" spans="1:10" ht="3.95" customHeight="1" x14ac:dyDescent="0.2">
      <c r="D29" s="110"/>
      <c r="E29" s="29"/>
      <c r="F29" s="28"/>
      <c r="G29" s="28"/>
      <c r="H29" s="200"/>
      <c r="I29" s="29"/>
      <c r="J29" s="138"/>
    </row>
    <row r="30" spans="1:10" s="10" customFormat="1" ht="12.95" customHeight="1" x14ac:dyDescent="0.2">
      <c r="A30" s="265">
        <v>9</v>
      </c>
      <c r="B30" s="265"/>
      <c r="C30" s="61" t="s">
        <v>10</v>
      </c>
      <c r="D30" s="106">
        <f>E30/$E$32</f>
        <v>5.3999999999999999E-2</v>
      </c>
      <c r="E30" s="192">
        <f>_9</f>
        <v>1600000</v>
      </c>
      <c r="F30" s="231"/>
      <c r="G30" s="231"/>
      <c r="H30" s="194">
        <v>0.01</v>
      </c>
      <c r="I30" s="192">
        <f>E30*H30</f>
        <v>16000</v>
      </c>
      <c r="J30" s="29"/>
    </row>
    <row r="31" spans="1:10" ht="9.9499999999999993" customHeight="1" x14ac:dyDescent="0.2">
      <c r="B31" s="12"/>
      <c r="D31" s="27"/>
      <c r="E31" s="29"/>
      <c r="F31" s="28"/>
      <c r="G31" s="28"/>
      <c r="H31" s="201"/>
      <c r="I31" s="29"/>
      <c r="J31" s="1"/>
    </row>
    <row r="32" spans="1:10" ht="12.95" customHeight="1" x14ac:dyDescent="0.2">
      <c r="A32" s="165" t="s">
        <v>12</v>
      </c>
      <c r="B32" s="166"/>
      <c r="C32" s="166"/>
      <c r="D32" s="57">
        <f>SUM(D6:D30)</f>
        <v>1</v>
      </c>
      <c r="E32" s="202">
        <f>_EK</f>
        <v>29500000</v>
      </c>
      <c r="F32" s="201"/>
      <c r="G32" s="201"/>
      <c r="H32" s="201"/>
      <c r="I32" s="201"/>
      <c r="J32" s="18"/>
    </row>
    <row r="33" spans="1:11" ht="3.95" customHeight="1" x14ac:dyDescent="0.25">
      <c r="B33" s="170"/>
      <c r="D33" s="27"/>
      <c r="E33" s="18"/>
      <c r="H33" s="203"/>
      <c r="J33" s="1"/>
    </row>
    <row r="34" spans="1:11" s="9" customFormat="1" ht="12.95" customHeight="1" x14ac:dyDescent="0.2">
      <c r="A34" s="190"/>
      <c r="B34" s="60" t="s">
        <v>85</v>
      </c>
      <c r="C34" s="61"/>
      <c r="D34" s="106"/>
      <c r="E34" s="192">
        <f>_mvB</f>
        <v>120000</v>
      </c>
      <c r="F34" s="231"/>
      <c r="G34" s="231"/>
      <c r="H34" s="194">
        <v>1</v>
      </c>
      <c r="I34" s="192">
        <f>E34*H34</f>
        <v>120000</v>
      </c>
    </row>
    <row r="35" spans="1:11" ht="6" customHeight="1" x14ac:dyDescent="0.2">
      <c r="D35" s="27"/>
    </row>
    <row r="36" spans="1:11" s="13" customFormat="1" ht="12.95" customHeight="1" x14ac:dyDescent="0.3">
      <c r="A36" s="167" t="s">
        <v>32</v>
      </c>
      <c r="B36" s="168"/>
      <c r="C36" s="168"/>
      <c r="D36" s="111"/>
      <c r="E36" s="111"/>
      <c r="F36" s="111"/>
      <c r="G36" s="111"/>
      <c r="H36" s="112"/>
      <c r="I36" s="205">
        <f>ROUND(SUM(I6:I34),2)</f>
        <v>286000</v>
      </c>
      <c r="J36" s="37"/>
      <c r="K36" s="255"/>
    </row>
    <row r="37" spans="1:11" ht="6" customHeight="1" x14ac:dyDescent="0.2">
      <c r="A37" s="86"/>
      <c r="B37" s="86"/>
      <c r="C37" s="86"/>
      <c r="D37" s="86"/>
      <c r="E37" s="86"/>
      <c r="F37" s="86"/>
      <c r="G37" s="86"/>
      <c r="I37" s="102"/>
    </row>
    <row r="38" spans="1:11" ht="12.75" customHeight="1" x14ac:dyDescent="0.2">
      <c r="A38" s="84" t="s">
        <v>83</v>
      </c>
      <c r="B38" s="84"/>
      <c r="C38" s="85"/>
      <c r="D38" s="85"/>
      <c r="E38" s="85"/>
      <c r="F38" s="85"/>
      <c r="G38" s="85"/>
      <c r="H38" s="84"/>
      <c r="I38" s="171"/>
      <c r="J38" s="87"/>
    </row>
    <row r="39" spans="1:11" ht="2.1" customHeight="1" x14ac:dyDescent="0.2">
      <c r="A39" s="86"/>
      <c r="B39" s="86"/>
      <c r="C39" s="86"/>
      <c r="D39" s="86"/>
      <c r="E39" s="86"/>
      <c r="F39" s="86"/>
      <c r="G39" s="86"/>
      <c r="I39" s="102"/>
    </row>
    <row r="40" spans="1:11" ht="12.75" customHeight="1" x14ac:dyDescent="0.2">
      <c r="A40" s="87" t="s">
        <v>56</v>
      </c>
      <c r="B40" s="86"/>
      <c r="C40" s="86"/>
      <c r="D40" s="86"/>
      <c r="E40" s="86"/>
      <c r="F40" s="86"/>
      <c r="G40" s="86"/>
      <c r="I40" s="102"/>
    </row>
    <row r="41" spans="1:11" ht="12.75" customHeight="1" x14ac:dyDescent="0.2">
      <c r="A41" s="14"/>
      <c r="B41" s="14"/>
      <c r="E41" s="88" t="s">
        <v>5</v>
      </c>
      <c r="F41" s="89" t="s">
        <v>4</v>
      </c>
      <c r="G41" s="89"/>
      <c r="H41" s="266" t="s">
        <v>92</v>
      </c>
      <c r="I41" s="266"/>
      <c r="J41" s="34"/>
    </row>
    <row r="42" spans="1:11" ht="12.75" customHeight="1" x14ac:dyDescent="0.2">
      <c r="B42" s="15" t="s">
        <v>40</v>
      </c>
      <c r="C42" s="30"/>
      <c r="D42" s="30"/>
      <c r="E42" s="80">
        <v>20</v>
      </c>
      <c r="F42" s="90" t="s">
        <v>50</v>
      </c>
      <c r="G42" s="89"/>
      <c r="H42" s="206"/>
      <c r="I42" s="207"/>
      <c r="J42" s="34"/>
    </row>
    <row r="43" spans="1:11" ht="12.75" customHeight="1" x14ac:dyDescent="0.2">
      <c r="B43" s="16" t="s">
        <v>41</v>
      </c>
      <c r="C43" s="31"/>
      <c r="D43" s="31"/>
      <c r="E43" s="81">
        <v>2</v>
      </c>
      <c r="F43" s="91" t="s">
        <v>6</v>
      </c>
      <c r="G43" s="89"/>
      <c r="H43" s="208"/>
      <c r="I43" s="209"/>
      <c r="J43" s="34"/>
    </row>
    <row r="44" spans="1:11" ht="12.75" customHeight="1" x14ac:dyDescent="0.2">
      <c r="B44" s="16" t="s">
        <v>42</v>
      </c>
      <c r="C44" s="31"/>
      <c r="D44" s="31"/>
      <c r="E44" s="81">
        <v>1</v>
      </c>
      <c r="F44" s="91" t="s">
        <v>6</v>
      </c>
      <c r="G44" s="89"/>
      <c r="H44" s="208"/>
      <c r="I44" s="209"/>
      <c r="J44" s="34"/>
    </row>
    <row r="45" spans="1:11" ht="12.75" customHeight="1" x14ac:dyDescent="0.2">
      <c r="B45" s="16" t="s">
        <v>43</v>
      </c>
      <c r="C45" s="31"/>
      <c r="D45" s="31"/>
      <c r="E45" s="81">
        <v>1</v>
      </c>
      <c r="F45" s="91" t="s">
        <v>6</v>
      </c>
      <c r="G45" s="89"/>
      <c r="H45" s="208"/>
      <c r="I45" s="209"/>
      <c r="J45" s="34"/>
    </row>
    <row r="46" spans="1:11" ht="4.5" customHeight="1" x14ac:dyDescent="0.2">
      <c r="A46" s="14"/>
      <c r="B46" s="14"/>
      <c r="E46" s="92"/>
      <c r="F46" s="92"/>
      <c r="G46" s="92"/>
      <c r="H46" s="208"/>
      <c r="I46" s="209"/>
      <c r="J46" s="34"/>
    </row>
    <row r="47" spans="1:11" ht="12.75" customHeight="1" x14ac:dyDescent="0.2">
      <c r="B47" s="256"/>
      <c r="C47" s="31" t="s">
        <v>86</v>
      </c>
      <c r="D47" s="31"/>
      <c r="E47" s="81">
        <v>0</v>
      </c>
      <c r="F47" s="91" t="s">
        <v>99</v>
      </c>
      <c r="G47" s="89"/>
      <c r="H47" s="210"/>
      <c r="I47" s="211"/>
      <c r="J47" s="34"/>
    </row>
    <row r="48" spans="1:11" ht="12.75" customHeight="1" x14ac:dyDescent="0.2">
      <c r="B48" s="256"/>
      <c r="C48" s="31" t="s">
        <v>87</v>
      </c>
      <c r="D48" s="31"/>
      <c r="E48" s="81">
        <v>0</v>
      </c>
      <c r="F48" s="91" t="s">
        <v>99</v>
      </c>
      <c r="G48" s="89"/>
      <c r="H48" s="208"/>
      <c r="I48" s="212"/>
      <c r="J48" s="34"/>
    </row>
    <row r="49" spans="1:10" ht="12.75" customHeight="1" x14ac:dyDescent="0.2">
      <c r="B49" s="256"/>
      <c r="C49" s="31" t="s">
        <v>88</v>
      </c>
      <c r="D49" s="31"/>
      <c r="E49" s="81">
        <v>0</v>
      </c>
      <c r="F49" s="91" t="s">
        <v>99</v>
      </c>
      <c r="G49" s="89"/>
      <c r="H49" s="208"/>
      <c r="I49" s="212"/>
      <c r="J49" s="34"/>
    </row>
    <row r="50" spans="1:10" ht="3.95" customHeight="1" x14ac:dyDescent="0.2">
      <c r="B50" s="14"/>
      <c r="C50" s="213"/>
      <c r="D50" s="213"/>
      <c r="E50" s="257"/>
      <c r="F50" s="214"/>
      <c r="G50" s="215"/>
      <c r="I50" s="172"/>
      <c r="J50" s="34"/>
    </row>
    <row r="51" spans="1:10" ht="12.75" customHeight="1" x14ac:dyDescent="0.2">
      <c r="B51" s="14" t="s">
        <v>39</v>
      </c>
      <c r="C51" s="93"/>
      <c r="D51" s="94"/>
      <c r="E51" s="105">
        <f>SUM(E42:E49)</f>
        <v>24</v>
      </c>
      <c r="F51" s="94"/>
      <c r="G51" s="94"/>
      <c r="I51" s="172"/>
      <c r="J51" s="1"/>
    </row>
    <row r="52" spans="1:10" ht="3.95" customHeight="1" x14ac:dyDescent="0.2">
      <c r="B52" s="14"/>
      <c r="C52" s="94"/>
      <c r="D52" s="94"/>
      <c r="E52" s="94"/>
      <c r="F52" s="94"/>
      <c r="G52" s="94"/>
      <c r="I52" s="172"/>
      <c r="J52" s="1"/>
    </row>
    <row r="53" spans="1:10" ht="12.95" customHeight="1" x14ac:dyDescent="0.2">
      <c r="A53" s="87" t="s">
        <v>15</v>
      </c>
      <c r="B53" s="87"/>
      <c r="C53" s="86"/>
      <c r="D53" s="86"/>
      <c r="E53" s="86"/>
      <c r="F53" s="86"/>
      <c r="G53" s="86"/>
      <c r="H53" s="173"/>
      <c r="I53" s="1"/>
    </row>
    <row r="54" spans="1:10" ht="4.5" customHeight="1" x14ac:dyDescent="0.2">
      <c r="A54" s="87"/>
      <c r="B54" s="87"/>
      <c r="C54" s="87"/>
      <c r="I54" s="1"/>
    </row>
    <row r="55" spans="1:10" ht="12.75" customHeight="1" x14ac:dyDescent="0.2">
      <c r="A55" s="95" t="s">
        <v>11</v>
      </c>
      <c r="B55" s="95"/>
      <c r="E55" s="113">
        <f>I36</f>
        <v>286000</v>
      </c>
      <c r="I55" s="1"/>
    </row>
    <row r="56" spans="1:10" ht="3.95" customHeight="1" x14ac:dyDescent="0.25">
      <c r="A56" s="14"/>
      <c r="B56" s="14"/>
      <c r="C56" s="14"/>
      <c r="D56" s="14"/>
      <c r="E56" s="93"/>
      <c r="I56"/>
    </row>
    <row r="57" spans="1:10" ht="12.75" customHeight="1" x14ac:dyDescent="0.2">
      <c r="A57" s="14" t="s">
        <v>52</v>
      </c>
      <c r="B57" s="14"/>
      <c r="E57" s="174">
        <f>0.03*E51+0.73</f>
        <v>1.45</v>
      </c>
      <c r="F57" s="271" t="str">
        <f>IF(I36&lt;50000,"! gemäß TA.9 (3): Ist die Bemessungsgrundlage niedriger als 50.000 €, sollte der Ermittlungsweg über Abschätzung des Büro- / Personalaufwandes gewählt werden","")</f>
        <v/>
      </c>
      <c r="G57" s="271"/>
      <c r="H57" s="271"/>
      <c r="I57" s="271"/>
    </row>
    <row r="58" spans="1:10" ht="3.95" customHeight="1" x14ac:dyDescent="0.2">
      <c r="A58" s="14"/>
      <c r="B58" s="14"/>
      <c r="E58" s="24"/>
      <c r="F58" s="271"/>
      <c r="G58" s="271"/>
      <c r="H58" s="271"/>
      <c r="I58" s="271"/>
    </row>
    <row r="59" spans="1:10" ht="12.75" customHeight="1" x14ac:dyDescent="0.2">
      <c r="A59" s="14" t="s">
        <v>54</v>
      </c>
      <c r="B59" s="14"/>
      <c r="E59" s="185">
        <f>ROUND(IF(E55&lt;2000000,202*E55^(-0.2248)*E57/100,(37.8*E55^(-0.109)*E57/100)),6)</f>
        <v>0.17383100000000001</v>
      </c>
      <c r="F59" s="271"/>
      <c r="G59" s="271"/>
      <c r="H59" s="271"/>
      <c r="I59" s="271"/>
    </row>
    <row r="60" spans="1:10" ht="15.95" customHeight="1" x14ac:dyDescent="0.3">
      <c r="A60" s="19" t="s">
        <v>57</v>
      </c>
      <c r="B60" s="19"/>
      <c r="E60" s="216">
        <f>202*E55^(-0.2248)*E57/100</f>
        <v>0.17383100000000001</v>
      </c>
      <c r="F60" s="175" t="str">
        <f>IF(E55&lt;2000000,"(PL + ÖBA)","")</f>
        <v>(PL + ÖBA)</v>
      </c>
      <c r="G60" s="175"/>
      <c r="I60"/>
    </row>
    <row r="61" spans="1:10" ht="15.95" customHeight="1" x14ac:dyDescent="0.3">
      <c r="A61" s="19" t="s">
        <v>58</v>
      </c>
      <c r="B61" s="19"/>
      <c r="C61" s="19"/>
      <c r="E61" s="216">
        <f>37.8*E55^(-0.109)*E57/100</f>
        <v>0.139353</v>
      </c>
      <c r="F61" s="217" t="str">
        <f>IF(E55&gt;1999999.99,"(PL + ÖBA)","")</f>
        <v/>
      </c>
      <c r="G61" s="217"/>
      <c r="I61"/>
    </row>
    <row r="62" spans="1:10" ht="13.5" customHeight="1" x14ac:dyDescent="0.25">
      <c r="A62" s="19" t="s">
        <v>68</v>
      </c>
      <c r="B62" s="19"/>
      <c r="C62" s="19"/>
      <c r="E62" s="115">
        <v>0</v>
      </c>
      <c r="F62" s="217"/>
      <c r="H62" s="1"/>
      <c r="I62"/>
    </row>
    <row r="63" spans="1:10" ht="2.1" customHeight="1" x14ac:dyDescent="0.25">
      <c r="A63" s="14"/>
      <c r="B63" s="14"/>
      <c r="E63" s="96"/>
      <c r="F63" s="96"/>
      <c r="G63" s="96"/>
      <c r="H63" s="1"/>
      <c r="I63"/>
    </row>
    <row r="64" spans="1:10" ht="15" customHeight="1" x14ac:dyDescent="0.3">
      <c r="A64" s="17" t="s">
        <v>79</v>
      </c>
      <c r="B64" s="15"/>
      <c r="C64" s="97"/>
      <c r="D64" s="97"/>
      <c r="E64" s="98"/>
      <c r="F64" s="218">
        <f>ROUND(E55*E59*(1+E62),2)</f>
        <v>49716</v>
      </c>
      <c r="G64" s="217"/>
      <c r="I64" s="1"/>
    </row>
    <row r="65" spans="1:11" ht="12.95" customHeight="1" x14ac:dyDescent="0.2">
      <c r="A65" s="19"/>
      <c r="B65" s="14"/>
      <c r="C65" s="86"/>
      <c r="D65" s="219" t="s">
        <v>80</v>
      </c>
      <c r="E65" s="220" t="s">
        <v>5</v>
      </c>
      <c r="F65" s="99"/>
      <c r="G65" s="221"/>
      <c r="H65" s="88"/>
      <c r="I65" s="25"/>
    </row>
    <row r="66" spans="1:11" ht="12.75" customHeight="1" x14ac:dyDescent="0.2">
      <c r="A66" s="86" t="s">
        <v>47</v>
      </c>
      <c r="B66" s="86"/>
      <c r="D66" s="186">
        <v>0.02</v>
      </c>
      <c r="E66" s="114">
        <v>0.02</v>
      </c>
      <c r="F66" s="102">
        <f t="shared" ref="F66:F75" si="1">$F$64*E66</f>
        <v>994</v>
      </c>
      <c r="G66" s="222"/>
      <c r="H66" s="258"/>
      <c r="I66" s="102"/>
    </row>
    <row r="67" spans="1:11" ht="12.75" customHeight="1" x14ac:dyDescent="0.2">
      <c r="A67" s="86" t="s">
        <v>33</v>
      </c>
      <c r="B67" s="86"/>
      <c r="D67" s="186">
        <v>0.09</v>
      </c>
      <c r="E67" s="115">
        <v>0.09</v>
      </c>
      <c r="F67" s="102">
        <f t="shared" si="1"/>
        <v>4474</v>
      </c>
      <c r="G67" s="223"/>
      <c r="H67" s="259"/>
      <c r="I67" s="102"/>
    </row>
    <row r="68" spans="1:11" ht="12.75" customHeight="1" x14ac:dyDescent="0.2">
      <c r="A68" s="86" t="s">
        <v>34</v>
      </c>
      <c r="B68" s="86"/>
      <c r="D68" s="186">
        <v>0.16</v>
      </c>
      <c r="E68" s="115">
        <v>0.16</v>
      </c>
      <c r="F68" s="102">
        <f t="shared" si="1"/>
        <v>7955</v>
      </c>
      <c r="G68" s="223"/>
      <c r="H68" s="259"/>
      <c r="I68" s="102"/>
      <c r="K68" s="264"/>
    </row>
    <row r="69" spans="1:11" ht="12.75" customHeight="1" x14ac:dyDescent="0.2">
      <c r="A69" s="86" t="s">
        <v>35</v>
      </c>
      <c r="B69" s="86"/>
      <c r="D69" s="186">
        <v>0.05</v>
      </c>
      <c r="E69" s="115">
        <v>0.05</v>
      </c>
      <c r="F69" s="102">
        <f t="shared" si="1"/>
        <v>2486</v>
      </c>
      <c r="G69" s="272" t="s">
        <v>102</v>
      </c>
      <c r="H69" s="273"/>
      <c r="I69" s="273"/>
      <c r="K69" s="1" t="s">
        <v>59</v>
      </c>
    </row>
    <row r="70" spans="1:11" ht="12.75" customHeight="1" x14ac:dyDescent="0.2">
      <c r="A70" s="86" t="s">
        <v>36</v>
      </c>
      <c r="B70" s="86"/>
      <c r="D70" s="186">
        <v>0.2</v>
      </c>
      <c r="E70" s="115">
        <v>0.2</v>
      </c>
      <c r="F70" s="102">
        <f t="shared" si="1"/>
        <v>9943</v>
      </c>
      <c r="G70" s="272" t="s">
        <v>105</v>
      </c>
      <c r="H70" s="273"/>
      <c r="I70" s="273"/>
    </row>
    <row r="71" spans="1:11" ht="12.75" customHeight="1" x14ac:dyDescent="0.2">
      <c r="A71" s="86" t="s">
        <v>37</v>
      </c>
      <c r="B71" s="86"/>
      <c r="D71" s="186">
        <v>0.05</v>
      </c>
      <c r="E71" s="115">
        <v>0.05</v>
      </c>
      <c r="F71" s="102">
        <f t="shared" si="1"/>
        <v>2486</v>
      </c>
      <c r="G71" s="222"/>
      <c r="H71" s="258"/>
      <c r="I71" s="102"/>
    </row>
    <row r="72" spans="1:11" ht="12.75" customHeight="1" x14ac:dyDescent="0.2">
      <c r="A72" s="86" t="s">
        <v>51</v>
      </c>
      <c r="B72" s="86"/>
      <c r="D72" s="186">
        <v>0.02</v>
      </c>
      <c r="E72" s="115">
        <v>0.02</v>
      </c>
      <c r="F72" s="102">
        <f t="shared" si="1"/>
        <v>994</v>
      </c>
      <c r="G72" s="223"/>
      <c r="H72" s="259"/>
      <c r="I72" s="102"/>
    </row>
    <row r="73" spans="1:11" ht="12.75" customHeight="1" x14ac:dyDescent="0.2">
      <c r="A73" s="86" t="s">
        <v>48</v>
      </c>
      <c r="B73" s="86"/>
      <c r="D73" s="186">
        <v>0.04</v>
      </c>
      <c r="E73" s="115">
        <v>0.04</v>
      </c>
      <c r="F73" s="102">
        <f t="shared" si="1"/>
        <v>1989</v>
      </c>
      <c r="G73" s="223"/>
      <c r="H73" s="259"/>
      <c r="I73" s="102"/>
    </row>
    <row r="74" spans="1:11" ht="12.75" customHeight="1" x14ac:dyDescent="0.2">
      <c r="A74" s="86" t="s">
        <v>53</v>
      </c>
      <c r="B74" s="86"/>
      <c r="D74" s="186">
        <v>0.35</v>
      </c>
      <c r="E74" s="115">
        <v>0.35</v>
      </c>
      <c r="F74" s="102">
        <f t="shared" si="1"/>
        <v>17401</v>
      </c>
      <c r="G74" s="223"/>
      <c r="H74" s="259"/>
      <c r="I74" s="102"/>
    </row>
    <row r="75" spans="1:11" ht="12.75" customHeight="1" x14ac:dyDescent="0.2">
      <c r="A75" s="97" t="s">
        <v>49</v>
      </c>
      <c r="B75" s="97"/>
      <c r="C75" s="30"/>
      <c r="D75" s="187">
        <v>0.02</v>
      </c>
      <c r="E75" s="116">
        <v>0.02</v>
      </c>
      <c r="F75" s="103">
        <f t="shared" si="1"/>
        <v>994</v>
      </c>
      <c r="G75" s="224"/>
      <c r="H75" s="260"/>
      <c r="I75" s="103"/>
    </row>
    <row r="76" spans="1:11" s="244" customFormat="1" ht="18.600000000000001" customHeight="1" x14ac:dyDescent="0.25">
      <c r="A76" s="242" t="s">
        <v>38</v>
      </c>
      <c r="B76" s="243"/>
      <c r="D76" s="263">
        <f>SUM(D66:D75)</f>
        <v>1</v>
      </c>
      <c r="E76" s="245">
        <f>SUM(E66:E75)</f>
        <v>1</v>
      </c>
      <c r="F76" s="246">
        <f>SUM(F66:F75)</f>
        <v>49716</v>
      </c>
      <c r="G76" s="247"/>
      <c r="H76" s="245"/>
      <c r="I76" s="246"/>
      <c r="J76" s="248"/>
    </row>
    <row r="77" spans="1:11" ht="12.75" customHeight="1" x14ac:dyDescent="0.2">
      <c r="A77" s="249" t="s">
        <v>93</v>
      </c>
      <c r="B77" s="100"/>
      <c r="D77" s="225">
        <v>0.02</v>
      </c>
      <c r="E77" s="114">
        <v>0</v>
      </c>
      <c r="F77" s="102">
        <f t="shared" ref="F77:F84" si="2">$F$64*E77</f>
        <v>0</v>
      </c>
      <c r="G77" s="101"/>
      <c r="H77" s="102"/>
      <c r="I77" s="70"/>
    </row>
    <row r="78" spans="1:11" ht="12.75" customHeight="1" x14ac:dyDescent="0.2">
      <c r="A78" s="249" t="s">
        <v>94</v>
      </c>
      <c r="B78" s="100"/>
      <c r="D78" s="225">
        <v>1.4999999999999999E-2</v>
      </c>
      <c r="E78" s="115">
        <v>0</v>
      </c>
      <c r="F78" s="102">
        <f t="shared" si="2"/>
        <v>0</v>
      </c>
      <c r="G78" s="101"/>
      <c r="H78" s="102"/>
      <c r="I78" s="70"/>
    </row>
    <row r="79" spans="1:11" ht="12.75" customHeight="1" x14ac:dyDescent="0.2">
      <c r="A79" s="249" t="s">
        <v>95</v>
      </c>
      <c r="B79" s="100"/>
      <c r="D79" s="225">
        <v>2.5000000000000001E-2</v>
      </c>
      <c r="E79" s="115">
        <v>0</v>
      </c>
      <c r="F79" s="102">
        <f t="shared" si="2"/>
        <v>0</v>
      </c>
      <c r="G79" s="101"/>
      <c r="H79" s="102"/>
      <c r="I79" s="70"/>
    </row>
    <row r="80" spans="1:11" ht="12.75" customHeight="1" x14ac:dyDescent="0.2">
      <c r="A80" s="249" t="s">
        <v>96</v>
      </c>
      <c r="B80" s="100"/>
      <c r="D80" s="225">
        <v>0.03</v>
      </c>
      <c r="E80" s="226">
        <v>0</v>
      </c>
      <c r="F80" s="102">
        <f t="shared" si="2"/>
        <v>0</v>
      </c>
      <c r="G80" s="101"/>
      <c r="H80" s="102"/>
      <c r="I80" s="70"/>
    </row>
    <row r="81" spans="1:13" ht="12.75" customHeight="1" x14ac:dyDescent="0.2">
      <c r="A81" s="249" t="s">
        <v>97</v>
      </c>
      <c r="B81" s="100"/>
      <c r="D81" s="225">
        <v>0.02</v>
      </c>
      <c r="E81" s="227">
        <v>0</v>
      </c>
      <c r="F81" s="102">
        <f t="shared" si="2"/>
        <v>0</v>
      </c>
      <c r="G81" s="101"/>
      <c r="H81" s="102"/>
      <c r="I81" s="70"/>
    </row>
    <row r="82" spans="1:13" ht="12.75" customHeight="1" x14ac:dyDescent="0.2">
      <c r="A82" s="249" t="s">
        <v>98</v>
      </c>
      <c r="B82" s="100"/>
      <c r="D82" s="222">
        <v>0.01</v>
      </c>
      <c r="E82" s="227">
        <v>0</v>
      </c>
      <c r="F82" s="102">
        <f t="shared" si="2"/>
        <v>0</v>
      </c>
      <c r="G82" s="101"/>
      <c r="H82" s="102"/>
      <c r="I82" s="70"/>
    </row>
    <row r="83" spans="1:13" ht="13.5" customHeight="1" x14ac:dyDescent="0.2">
      <c r="A83" s="274" t="s">
        <v>107</v>
      </c>
      <c r="B83" s="100"/>
      <c r="D83" s="222">
        <v>0.01</v>
      </c>
      <c r="E83" s="227">
        <v>0</v>
      </c>
      <c r="F83" s="102">
        <f t="shared" si="2"/>
        <v>0</v>
      </c>
      <c r="G83" s="101"/>
      <c r="H83" s="102"/>
      <c r="I83" s="70"/>
    </row>
    <row r="84" spans="1:13" ht="12.75" customHeight="1" x14ac:dyDescent="0.2">
      <c r="A84" s="275" t="s">
        <v>108</v>
      </c>
      <c r="B84" s="250"/>
      <c r="C84" s="30"/>
      <c r="D84" s="251">
        <v>0.04</v>
      </c>
      <c r="E84" s="116">
        <v>0</v>
      </c>
      <c r="F84" s="103">
        <f t="shared" si="2"/>
        <v>0</v>
      </c>
      <c r="G84" s="261"/>
      <c r="H84" s="103"/>
      <c r="I84" s="252"/>
      <c r="J84" s="1"/>
    </row>
    <row r="85" spans="1:13" ht="12.75" customHeight="1" x14ac:dyDescent="0.2">
      <c r="A85" s="270" t="s">
        <v>104</v>
      </c>
      <c r="B85" s="270"/>
      <c r="C85" s="270"/>
      <c r="D85" s="262">
        <f>SUM(D76:D84)</f>
        <v>1.17</v>
      </c>
      <c r="E85" s="101">
        <f>SUM(E76:E84)</f>
        <v>1</v>
      </c>
      <c r="F85" s="247">
        <f>SUM(F77:F84)+F76</f>
        <v>49716</v>
      </c>
      <c r="H85" s="101"/>
      <c r="I85" s="254">
        <f>F85</f>
        <v>49716</v>
      </c>
      <c r="J85" s="1"/>
      <c r="K85" s="8"/>
    </row>
    <row r="86" spans="1:13" ht="12.75" customHeight="1" x14ac:dyDescent="0.2">
      <c r="A86" s="176"/>
      <c r="B86" s="14"/>
      <c r="D86" s="101"/>
      <c r="E86" s="101"/>
      <c r="F86" s="104"/>
      <c r="G86" s="7"/>
      <c r="I86" s="253"/>
      <c r="J86" s="1"/>
    </row>
    <row r="87" spans="1:13" ht="12.75" customHeight="1" x14ac:dyDescent="0.25">
      <c r="A87" s="28" t="s">
        <v>67</v>
      </c>
      <c r="E87" s="232">
        <v>0</v>
      </c>
      <c r="F87" s="169">
        <v>0</v>
      </c>
      <c r="G87" s="7"/>
      <c r="I87" s="70">
        <f>E87*F87</f>
        <v>0</v>
      </c>
      <c r="K87"/>
      <c r="L87"/>
      <c r="M87"/>
    </row>
    <row r="88" spans="1:13" ht="3" customHeight="1" x14ac:dyDescent="0.25">
      <c r="E88" s="177"/>
      <c r="I88"/>
    </row>
    <row r="89" spans="1:13" s="19" customFormat="1" ht="12.75" x14ac:dyDescent="0.2">
      <c r="A89" s="73" t="s">
        <v>69</v>
      </c>
      <c r="B89" s="74"/>
      <c r="C89" s="75"/>
      <c r="D89" s="77"/>
      <c r="E89" s="178"/>
      <c r="F89" s="76"/>
      <c r="G89" s="76"/>
      <c r="H89" s="76"/>
      <c r="I89" s="78">
        <f>I85+I87</f>
        <v>49716</v>
      </c>
    </row>
    <row r="90" spans="1:13" s="19" customFormat="1" ht="3" customHeight="1" x14ac:dyDescent="0.2">
      <c r="B90" s="20"/>
      <c r="C90" s="21"/>
      <c r="D90" s="39"/>
      <c r="E90" s="40"/>
      <c r="F90" s="40"/>
      <c r="G90" s="40"/>
      <c r="I90" s="70"/>
    </row>
    <row r="91" spans="1:13" s="19" customFormat="1" ht="12.75" x14ac:dyDescent="0.2">
      <c r="A91" s="41" t="s">
        <v>13</v>
      </c>
      <c r="B91" s="20"/>
      <c r="C91" s="21"/>
      <c r="D91" s="39"/>
      <c r="E91" s="117">
        <v>0.04</v>
      </c>
      <c r="F91" s="40"/>
      <c r="G91" s="40"/>
      <c r="I91" s="70">
        <f>ROUND(I89*E91,2)</f>
        <v>1989</v>
      </c>
    </row>
    <row r="92" spans="1:13" s="19" customFormat="1" ht="3" customHeight="1" x14ac:dyDescent="0.2">
      <c r="A92" s="42"/>
      <c r="B92" s="43"/>
      <c r="C92" s="44"/>
      <c r="D92" s="48"/>
      <c r="E92" s="118"/>
      <c r="F92" s="52"/>
      <c r="G92" s="52"/>
      <c r="H92" s="42"/>
      <c r="I92" s="72"/>
    </row>
    <row r="93" spans="1:13" s="19" customFormat="1" ht="3" customHeight="1" x14ac:dyDescent="0.2">
      <c r="B93" s="20"/>
      <c r="C93" s="21"/>
      <c r="D93" s="49"/>
      <c r="E93" s="119"/>
      <c r="F93" s="53"/>
      <c r="G93" s="53"/>
      <c r="H93" s="50"/>
      <c r="I93" s="70"/>
    </row>
    <row r="94" spans="1:13" s="19" customFormat="1" ht="12.75" x14ac:dyDescent="0.2">
      <c r="A94" s="45" t="s">
        <v>70</v>
      </c>
      <c r="B94" s="46"/>
      <c r="C94" s="47"/>
      <c r="D94" s="22"/>
      <c r="E94" s="120"/>
      <c r="F94" s="40"/>
      <c r="G94" s="40"/>
      <c r="I94" s="71">
        <f>I89+I91</f>
        <v>51705</v>
      </c>
    </row>
    <row r="95" spans="1:13" s="19" customFormat="1" ht="12.75" x14ac:dyDescent="0.2">
      <c r="A95" s="19" t="s">
        <v>14</v>
      </c>
      <c r="B95" s="20"/>
      <c r="C95" s="21"/>
      <c r="D95" s="22"/>
      <c r="E95" s="23">
        <v>0.2</v>
      </c>
      <c r="F95" s="23"/>
      <c r="G95" s="23"/>
      <c r="I95" s="70">
        <f>ROUND(I94*E95,2)</f>
        <v>10341</v>
      </c>
    </row>
    <row r="96" spans="1:13" s="19" customFormat="1" ht="3" customHeight="1" x14ac:dyDescent="0.2">
      <c r="B96" s="20"/>
      <c r="C96" s="21"/>
      <c r="D96" s="22"/>
      <c r="E96" s="40"/>
      <c r="F96" s="40"/>
      <c r="G96" s="40"/>
      <c r="I96" s="70"/>
    </row>
    <row r="97" spans="1:13" s="19" customFormat="1" ht="12.75" x14ac:dyDescent="0.2">
      <c r="A97" s="121" t="s">
        <v>71</v>
      </c>
      <c r="B97" s="122"/>
      <c r="C97" s="123"/>
      <c r="D97" s="125"/>
      <c r="E97" s="126"/>
      <c r="F97" s="126"/>
      <c r="G97" s="126"/>
      <c r="H97" s="124"/>
      <c r="I97" s="127">
        <f>SUM(I93:I95)</f>
        <v>62046</v>
      </c>
    </row>
    <row r="98" spans="1:13" s="8" customFormat="1" ht="3" customHeight="1" x14ac:dyDescent="0.2">
      <c r="A98" s="1"/>
      <c r="B98" s="6"/>
      <c r="C98" s="1"/>
      <c r="D98" s="1"/>
      <c r="E98" s="1"/>
      <c r="F98" s="1"/>
      <c r="G98" s="1"/>
      <c r="H98" s="7"/>
      <c r="K98" s="1"/>
      <c r="L98" s="1"/>
      <c r="M98" s="1"/>
    </row>
    <row r="99" spans="1:13" ht="12.75" x14ac:dyDescent="0.2">
      <c r="A99" s="128" t="s">
        <v>61</v>
      </c>
      <c r="E99" s="179">
        <f>I94/E32</f>
        <v>1.753E-3</v>
      </c>
    </row>
  </sheetData>
  <sheetProtection algorithmName="SHA-512" hashValue="sOKyRqxmz3izeOBOA7CKVVqB4zhtAb9uyq+Cq1L0nXBAJ4kZU+nm2NGL+jqpXOdK22yQdu8uAf5fi0JOUQMDJw==" saltValue="QcJGffhL7fOTPkEQKb3cZQ==" spinCount="100000" sheet="1" objects="1" scenarios="1"/>
  <mergeCells count="15">
    <mergeCell ref="A85:C85"/>
    <mergeCell ref="G69:I69"/>
    <mergeCell ref="G70:I70"/>
    <mergeCell ref="F57:I59"/>
    <mergeCell ref="H2:I2"/>
    <mergeCell ref="A6:B6"/>
    <mergeCell ref="A8:B8"/>
    <mergeCell ref="A10:B10"/>
    <mergeCell ref="A20:B20"/>
    <mergeCell ref="A22:B22"/>
    <mergeCell ref="A24:B24"/>
    <mergeCell ref="A26:B26"/>
    <mergeCell ref="A28:B28"/>
    <mergeCell ref="A30:B30"/>
    <mergeCell ref="H41:I41"/>
  </mergeCells>
  <conditionalFormatting sqref="E60">
    <cfRule type="expression" dxfId="5" priority="2" stopIfTrue="1">
      <formula>$E$55&gt;1999999.99</formula>
    </cfRule>
  </conditionalFormatting>
  <conditionalFormatting sqref="E61">
    <cfRule type="expression" dxfId="4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&amp;L&amp;"Arial,Fett"&amp;K01+020Angebot TA | Anlagengruppen aufgegliedert
&amp;"Arial,Standard"nach LM.VM.2023&amp;R&amp;"Arial,Standard"&amp;K01+021Version 1
Stand: 15.09.2023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Scroll Bar 5">
              <controlPr defaultSize="0" autoPict="0">
                <anchor moveWithCells="1">
                  <from>
                    <xdr:col>7</xdr:col>
                    <xdr:colOff>19050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Scroll Bar 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Scroll Bar 7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2CBF4-E631-4395-B827-02B95A53E740}">
  <sheetPr>
    <tabColor theme="5" tint="0.39997558519241921"/>
  </sheetPr>
  <dimension ref="A1:M99"/>
  <sheetViews>
    <sheetView showGridLines="0" zoomScaleNormal="100" zoomScaleSheetLayoutView="85" zoomScalePageLayoutView="70" workbookViewId="0">
      <selection activeCell="A77" sqref="A77:B84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0" width="2.7109375" style="8" customWidth="1"/>
    <col min="11" max="16384" width="11.5703125" style="1"/>
  </cols>
  <sheetData>
    <row r="1" spans="1:10" ht="5.0999999999999996" customHeight="1" x14ac:dyDescent="0.2"/>
    <row r="2" spans="1:10" s="32" customFormat="1" ht="23.25" customHeight="1" x14ac:dyDescent="0.2">
      <c r="A2" s="79" t="s">
        <v>60</v>
      </c>
      <c r="E2" s="33"/>
      <c r="F2" s="33"/>
      <c r="G2" s="33"/>
      <c r="H2" s="267" t="s">
        <v>89</v>
      </c>
      <c r="I2" s="267"/>
      <c r="J2" s="35"/>
    </row>
    <row r="3" spans="1:10" s="9" customFormat="1" ht="2.1" customHeight="1" x14ac:dyDescent="0.25">
      <c r="A3" s="58"/>
      <c r="B3" s="58"/>
      <c r="C3" s="58"/>
      <c r="D3" s="58"/>
      <c r="E3" s="58"/>
      <c r="F3" s="58"/>
      <c r="G3" s="58"/>
      <c r="H3" s="58"/>
      <c r="I3" s="59"/>
      <c r="J3" s="2"/>
    </row>
    <row r="4" spans="1:10" s="9" customFormat="1" ht="2.1" customHeight="1" x14ac:dyDescent="0.25">
      <c r="I4" s="2"/>
      <c r="J4" s="2"/>
    </row>
    <row r="5" spans="1:10" s="9" customFormat="1" ht="12.95" customHeight="1" x14ac:dyDescent="0.25">
      <c r="D5" s="56" t="s">
        <v>55</v>
      </c>
      <c r="E5" s="26" t="s">
        <v>44</v>
      </c>
      <c r="F5" s="26"/>
      <c r="G5" s="26"/>
      <c r="H5" s="11" t="s">
        <v>16</v>
      </c>
      <c r="I5" s="68" t="s">
        <v>45</v>
      </c>
      <c r="J5" s="26"/>
    </row>
    <row r="6" spans="1:10" s="10" customFormat="1" ht="12.95" customHeight="1" x14ac:dyDescent="0.2">
      <c r="A6" s="265">
        <v>1</v>
      </c>
      <c r="B6" s="265"/>
      <c r="C6" s="61" t="s">
        <v>0</v>
      </c>
      <c r="D6" s="106">
        <f>E6/$E$32</f>
        <v>0</v>
      </c>
      <c r="E6" s="192">
        <f>_1</f>
        <v>10000</v>
      </c>
      <c r="F6" s="231"/>
      <c r="G6" s="231"/>
      <c r="H6" s="191">
        <v>0</v>
      </c>
      <c r="I6" s="192">
        <f>E6*H6</f>
        <v>0</v>
      </c>
      <c r="J6" s="29"/>
    </row>
    <row r="7" spans="1:10" ht="3.95" customHeight="1" x14ac:dyDescent="0.2">
      <c r="B7" s="3"/>
      <c r="D7" s="107"/>
      <c r="E7" s="36"/>
      <c r="F7" s="28"/>
      <c r="G7" s="28"/>
      <c r="H7" s="193"/>
      <c r="I7" s="36"/>
      <c r="J7" s="36"/>
    </row>
    <row r="8" spans="1:10" s="10" customFormat="1" ht="12.95" customHeight="1" x14ac:dyDescent="0.2">
      <c r="A8" s="265">
        <v>2</v>
      </c>
      <c r="B8" s="265"/>
      <c r="C8" s="61" t="s">
        <v>1</v>
      </c>
      <c r="D8" s="106">
        <f>E8/$E$32</f>
        <v>0.30499999999999999</v>
      </c>
      <c r="E8" s="192">
        <f>_2</f>
        <v>9000000</v>
      </c>
      <c r="F8" s="231"/>
      <c r="G8" s="231"/>
      <c r="H8" s="194">
        <v>0</v>
      </c>
      <c r="I8" s="192">
        <f>E8*H8</f>
        <v>0</v>
      </c>
      <c r="J8" s="29"/>
    </row>
    <row r="9" spans="1:10" ht="3.95" customHeight="1" x14ac:dyDescent="0.2">
      <c r="D9" s="107"/>
      <c r="E9" s="29"/>
      <c r="F9" s="28"/>
      <c r="G9" s="28"/>
      <c r="H9" s="193"/>
      <c r="I9" s="29"/>
      <c r="J9" s="29"/>
    </row>
    <row r="10" spans="1:10" s="9" customFormat="1" ht="12.95" customHeight="1" x14ac:dyDescent="0.2">
      <c r="A10" s="265">
        <v>3</v>
      </c>
      <c r="B10" s="265"/>
      <c r="C10" s="61" t="s">
        <v>7</v>
      </c>
      <c r="D10" s="106">
        <f>E10/$E$32</f>
        <v>0.193</v>
      </c>
      <c r="E10" s="195">
        <f>_3</f>
        <v>5700000</v>
      </c>
      <c r="F10" s="231"/>
      <c r="G10" s="231"/>
      <c r="H10" s="193"/>
      <c r="I10" s="29"/>
      <c r="J10" s="29"/>
    </row>
    <row r="11" spans="1:10" ht="12.95" customHeight="1" x14ac:dyDescent="0.2">
      <c r="A11" s="188">
        <v>3</v>
      </c>
      <c r="B11" s="63" t="s">
        <v>17</v>
      </c>
      <c r="C11" s="64" t="s">
        <v>18</v>
      </c>
      <c r="D11" s="108"/>
      <c r="E11" s="228">
        <f>_3.01</f>
        <v>900000</v>
      </c>
      <c r="F11" s="231"/>
      <c r="G11" s="231"/>
      <c r="H11" s="194">
        <v>0</v>
      </c>
      <c r="I11" s="197">
        <f t="shared" ref="I11:I18" si="0">E11*H11</f>
        <v>0</v>
      </c>
      <c r="J11" s="29"/>
    </row>
    <row r="12" spans="1:10" ht="12.95" customHeight="1" x14ac:dyDescent="0.2">
      <c r="A12" s="189">
        <v>3</v>
      </c>
      <c r="B12" s="66" t="s">
        <v>19</v>
      </c>
      <c r="C12" s="67" t="s">
        <v>26</v>
      </c>
      <c r="D12" s="109"/>
      <c r="E12" s="229">
        <f>_3.02</f>
        <v>1200000</v>
      </c>
      <c r="F12" s="231"/>
      <c r="G12" s="231"/>
      <c r="H12" s="194">
        <v>0</v>
      </c>
      <c r="I12" s="198">
        <f t="shared" si="0"/>
        <v>0</v>
      </c>
      <c r="J12" s="29"/>
    </row>
    <row r="13" spans="1:10" ht="12.95" customHeight="1" x14ac:dyDescent="0.2">
      <c r="A13" s="189">
        <v>3</v>
      </c>
      <c r="B13" s="66" t="s">
        <v>20</v>
      </c>
      <c r="C13" s="67" t="s">
        <v>27</v>
      </c>
      <c r="D13" s="109"/>
      <c r="E13" s="230">
        <f>_3.03</f>
        <v>1000000</v>
      </c>
      <c r="F13" s="231"/>
      <c r="G13" s="231"/>
      <c r="H13" s="194">
        <v>0</v>
      </c>
      <c r="I13" s="198">
        <f t="shared" si="0"/>
        <v>0</v>
      </c>
      <c r="J13" s="29"/>
    </row>
    <row r="14" spans="1:10" ht="12.95" customHeight="1" x14ac:dyDescent="0.2">
      <c r="A14" s="189">
        <v>3</v>
      </c>
      <c r="B14" s="66" t="s">
        <v>21</v>
      </c>
      <c r="C14" s="67" t="s">
        <v>28</v>
      </c>
      <c r="D14" s="109"/>
      <c r="E14" s="230">
        <f>_3.04</f>
        <v>1500000</v>
      </c>
      <c r="F14" s="231"/>
      <c r="G14" s="231"/>
      <c r="H14" s="194">
        <v>0</v>
      </c>
      <c r="I14" s="198">
        <f t="shared" si="0"/>
        <v>0</v>
      </c>
      <c r="J14" s="29"/>
    </row>
    <row r="15" spans="1:10" ht="12.95" customHeight="1" x14ac:dyDescent="0.2">
      <c r="A15" s="189">
        <v>3</v>
      </c>
      <c r="B15" s="66" t="s">
        <v>22</v>
      </c>
      <c r="C15" s="67" t="s">
        <v>31</v>
      </c>
      <c r="D15" s="109"/>
      <c r="E15" s="230">
        <f>_3.05</f>
        <v>600000</v>
      </c>
      <c r="F15" s="231"/>
      <c r="G15" s="231"/>
      <c r="H15" s="194">
        <v>0</v>
      </c>
      <c r="I15" s="198">
        <f t="shared" si="0"/>
        <v>0</v>
      </c>
      <c r="J15" s="29"/>
    </row>
    <row r="16" spans="1:10" ht="12.95" customHeight="1" x14ac:dyDescent="0.2">
      <c r="A16" s="189">
        <v>3</v>
      </c>
      <c r="B16" s="66" t="s">
        <v>23</v>
      </c>
      <c r="C16" s="67" t="s">
        <v>29</v>
      </c>
      <c r="D16" s="109"/>
      <c r="E16" s="230">
        <f>_3.06</f>
        <v>150000</v>
      </c>
      <c r="F16" s="231"/>
      <c r="G16" s="231"/>
      <c r="H16" s="194">
        <v>0</v>
      </c>
      <c r="I16" s="198">
        <f t="shared" si="0"/>
        <v>0</v>
      </c>
      <c r="J16" s="29"/>
    </row>
    <row r="17" spans="1:10" ht="12.95" customHeight="1" x14ac:dyDescent="0.2">
      <c r="A17" s="189">
        <v>3</v>
      </c>
      <c r="B17" s="66" t="s">
        <v>24</v>
      </c>
      <c r="C17" s="67" t="s">
        <v>30</v>
      </c>
      <c r="D17" s="109"/>
      <c r="E17" s="230">
        <f>_3.07</f>
        <v>50000</v>
      </c>
      <c r="F17" s="231"/>
      <c r="G17" s="231"/>
      <c r="H17" s="194">
        <v>1</v>
      </c>
      <c r="I17" s="198">
        <f t="shared" si="0"/>
        <v>50000</v>
      </c>
      <c r="J17" s="29"/>
    </row>
    <row r="18" spans="1:10" ht="12.95" customHeight="1" x14ac:dyDescent="0.2">
      <c r="A18" s="189">
        <v>3</v>
      </c>
      <c r="B18" s="66" t="s">
        <v>25</v>
      </c>
      <c r="C18" s="67" t="s">
        <v>8</v>
      </c>
      <c r="D18" s="109"/>
      <c r="E18" s="230">
        <f>_3.08</f>
        <v>300000</v>
      </c>
      <c r="F18" s="231"/>
      <c r="G18" s="231"/>
      <c r="H18" s="194">
        <v>0</v>
      </c>
      <c r="I18" s="199">
        <f t="shared" si="0"/>
        <v>0</v>
      </c>
      <c r="J18" s="29"/>
    </row>
    <row r="19" spans="1:10" ht="3.95" customHeight="1" x14ac:dyDescent="0.2">
      <c r="D19" s="107"/>
      <c r="E19" s="29"/>
      <c r="F19" s="28"/>
      <c r="G19" s="28"/>
      <c r="H19" s="200"/>
      <c r="I19" s="29"/>
      <c r="J19" s="138"/>
    </row>
    <row r="20" spans="1:10" s="9" customFormat="1" ht="12.75" customHeight="1" x14ac:dyDescent="0.2">
      <c r="A20" s="265">
        <v>4</v>
      </c>
      <c r="B20" s="265"/>
      <c r="C20" s="61" t="s">
        <v>2</v>
      </c>
      <c r="D20" s="106">
        <f>E20/$E$32</f>
        <v>0.20300000000000001</v>
      </c>
      <c r="E20" s="192">
        <f>_4</f>
        <v>6000000</v>
      </c>
      <c r="F20" s="231"/>
      <c r="G20" s="231"/>
      <c r="H20" s="194">
        <v>0</v>
      </c>
      <c r="I20" s="192">
        <f>E20*H20</f>
        <v>0</v>
      </c>
      <c r="J20" s="29"/>
    </row>
    <row r="21" spans="1:10" ht="3.95" customHeight="1" x14ac:dyDescent="0.2">
      <c r="B21" s="3"/>
      <c r="D21" s="107"/>
      <c r="E21" s="29"/>
      <c r="F21" s="28"/>
      <c r="G21" s="28"/>
      <c r="H21" s="193"/>
      <c r="I21" s="29"/>
      <c r="J21" s="28"/>
    </row>
    <row r="22" spans="1:10" s="10" customFormat="1" ht="12.95" customHeight="1" x14ac:dyDescent="0.2">
      <c r="A22" s="265">
        <v>5</v>
      </c>
      <c r="B22" s="265"/>
      <c r="C22" s="61" t="s">
        <v>9</v>
      </c>
      <c r="D22" s="106">
        <f>E22/$E$32</f>
        <v>5.6000000000000001E-2</v>
      </c>
      <c r="E22" s="197">
        <f>_5</f>
        <v>1650000</v>
      </c>
      <c r="F22" s="231"/>
      <c r="G22" s="231"/>
      <c r="H22" s="194">
        <v>0</v>
      </c>
      <c r="I22" s="192">
        <f>E22*H22</f>
        <v>0</v>
      </c>
      <c r="J22" s="29"/>
    </row>
    <row r="23" spans="1:10" ht="3.95" customHeight="1" x14ac:dyDescent="0.2">
      <c r="D23" s="107"/>
      <c r="E23" s="29"/>
      <c r="F23" s="28"/>
      <c r="G23" s="28"/>
      <c r="H23" s="193"/>
      <c r="I23" s="29"/>
      <c r="J23" s="29"/>
    </row>
    <row r="24" spans="1:10" s="9" customFormat="1" ht="12.95" customHeight="1" x14ac:dyDescent="0.2">
      <c r="A24" s="265">
        <v>6</v>
      </c>
      <c r="B24" s="265"/>
      <c r="C24" s="61" t="s">
        <v>3</v>
      </c>
      <c r="D24" s="106">
        <f>E24/$E$32</f>
        <v>1.7000000000000001E-2</v>
      </c>
      <c r="E24" s="192">
        <f>_6</f>
        <v>500000</v>
      </c>
      <c r="F24" s="231"/>
      <c r="G24" s="231"/>
      <c r="H24" s="194">
        <v>0</v>
      </c>
      <c r="I24" s="192">
        <f>E24*H24</f>
        <v>0</v>
      </c>
      <c r="J24" s="29"/>
    </row>
    <row r="25" spans="1:10" ht="3.95" customHeight="1" x14ac:dyDescent="0.2">
      <c r="B25" s="12"/>
      <c r="D25" s="110"/>
      <c r="E25" s="29"/>
      <c r="F25" s="28"/>
      <c r="G25" s="28"/>
      <c r="H25" s="193"/>
      <c r="I25" s="29"/>
      <c r="J25" s="29"/>
    </row>
    <row r="26" spans="1:10" s="10" customFormat="1" ht="12.95" customHeight="1" x14ac:dyDescent="0.2">
      <c r="A26" s="265">
        <v>7</v>
      </c>
      <c r="B26" s="265"/>
      <c r="C26" s="61" t="s">
        <v>66</v>
      </c>
      <c r="D26" s="106">
        <f>E26/$E$32</f>
        <v>0.16900000000000001</v>
      </c>
      <c r="E26" s="192">
        <f>_7</f>
        <v>5000000</v>
      </c>
      <c r="F26" s="231"/>
      <c r="G26" s="231"/>
      <c r="H26" s="194">
        <v>0</v>
      </c>
      <c r="I26" s="192">
        <f>E26*H26</f>
        <v>0</v>
      </c>
      <c r="J26" s="29"/>
    </row>
    <row r="27" spans="1:10" ht="3.95" customHeight="1" x14ac:dyDescent="0.2">
      <c r="D27" s="110"/>
      <c r="E27" s="29"/>
      <c r="F27" s="28"/>
      <c r="G27" s="28"/>
      <c r="H27" s="193"/>
      <c r="I27" s="29"/>
      <c r="J27" s="29"/>
    </row>
    <row r="28" spans="1:10" s="10" customFormat="1" ht="12.95" customHeight="1" x14ac:dyDescent="0.2">
      <c r="A28" s="265">
        <v>8</v>
      </c>
      <c r="B28" s="265"/>
      <c r="C28" s="61" t="s">
        <v>84</v>
      </c>
      <c r="D28" s="106">
        <f>E28/$E$32</f>
        <v>1E-3</v>
      </c>
      <c r="E28" s="192">
        <f>_8</f>
        <v>40000</v>
      </c>
      <c r="F28" s="231"/>
      <c r="G28" s="231"/>
      <c r="H28" s="194">
        <v>0</v>
      </c>
      <c r="I28" s="192">
        <f>E28*H28</f>
        <v>0</v>
      </c>
      <c r="J28" s="29"/>
    </row>
    <row r="29" spans="1:10" ht="3.95" customHeight="1" x14ac:dyDescent="0.2">
      <c r="D29" s="110"/>
      <c r="E29" s="29"/>
      <c r="F29" s="28"/>
      <c r="G29" s="28"/>
      <c r="H29" s="200"/>
      <c r="I29" s="29"/>
      <c r="J29" s="138"/>
    </row>
    <row r="30" spans="1:10" s="10" customFormat="1" ht="12.95" customHeight="1" x14ac:dyDescent="0.2">
      <c r="A30" s="265">
        <v>9</v>
      </c>
      <c r="B30" s="265"/>
      <c r="C30" s="61" t="s">
        <v>10</v>
      </c>
      <c r="D30" s="106">
        <f>E30/$E$32</f>
        <v>5.3999999999999999E-2</v>
      </c>
      <c r="E30" s="192">
        <f>_9</f>
        <v>1600000</v>
      </c>
      <c r="F30" s="231"/>
      <c r="G30" s="231"/>
      <c r="H30" s="194">
        <v>0</v>
      </c>
      <c r="I30" s="192">
        <f>E30*H30</f>
        <v>0</v>
      </c>
      <c r="J30" s="29"/>
    </row>
    <row r="31" spans="1:10" ht="9.9499999999999993" customHeight="1" x14ac:dyDescent="0.2">
      <c r="B31" s="12"/>
      <c r="D31" s="27"/>
      <c r="E31" s="29"/>
      <c r="F31" s="28"/>
      <c r="G31" s="28"/>
      <c r="H31" s="201"/>
      <c r="I31" s="29"/>
      <c r="J31" s="1"/>
    </row>
    <row r="32" spans="1:10" ht="12.95" customHeight="1" x14ac:dyDescent="0.2">
      <c r="A32" s="165" t="s">
        <v>12</v>
      </c>
      <c r="B32" s="166"/>
      <c r="C32" s="166"/>
      <c r="D32" s="57">
        <f>SUM(D6:D30)</f>
        <v>1</v>
      </c>
      <c r="E32" s="202">
        <f>_EK</f>
        <v>29500000</v>
      </c>
      <c r="F32" s="201"/>
      <c r="G32" s="201"/>
      <c r="H32" s="201"/>
      <c r="I32" s="201"/>
      <c r="J32" s="18"/>
    </row>
    <row r="33" spans="1:11" ht="3.95" customHeight="1" x14ac:dyDescent="0.25">
      <c r="B33" s="170"/>
      <c r="D33" s="27"/>
      <c r="E33" s="18"/>
      <c r="H33" s="203"/>
      <c r="J33" s="1"/>
    </row>
    <row r="34" spans="1:11" s="9" customFormat="1" ht="12.95" customHeight="1" x14ac:dyDescent="0.2">
      <c r="A34" s="190"/>
      <c r="B34" s="60" t="s">
        <v>85</v>
      </c>
      <c r="C34" s="61"/>
      <c r="D34" s="106"/>
      <c r="E34" s="192">
        <f>_mvB</f>
        <v>120000</v>
      </c>
      <c r="F34" s="231"/>
      <c r="G34" s="231"/>
      <c r="H34" s="194">
        <v>0</v>
      </c>
      <c r="I34" s="192">
        <f>E34*H34</f>
        <v>0</v>
      </c>
    </row>
    <row r="35" spans="1:11" ht="6" customHeight="1" x14ac:dyDescent="0.2">
      <c r="D35" s="27"/>
    </row>
    <row r="36" spans="1:11" s="13" customFormat="1" ht="12.95" customHeight="1" x14ac:dyDescent="0.3">
      <c r="A36" s="167" t="s">
        <v>32</v>
      </c>
      <c r="B36" s="168"/>
      <c r="C36" s="168"/>
      <c r="D36" s="111"/>
      <c r="E36" s="111"/>
      <c r="F36" s="111"/>
      <c r="G36" s="111"/>
      <c r="H36" s="112"/>
      <c r="I36" s="205">
        <f>ROUND(SUM(I6:I34),2)</f>
        <v>50000</v>
      </c>
      <c r="J36" s="37"/>
      <c r="K36" s="255"/>
    </row>
    <row r="37" spans="1:11" ht="6" customHeight="1" x14ac:dyDescent="0.2">
      <c r="A37" s="86"/>
      <c r="B37" s="86"/>
      <c r="C37" s="86"/>
      <c r="D37" s="86"/>
      <c r="E37" s="86"/>
      <c r="F37" s="86"/>
      <c r="G37" s="86"/>
      <c r="I37" s="102"/>
    </row>
    <row r="38" spans="1:11" ht="12.75" customHeight="1" x14ac:dyDescent="0.2">
      <c r="A38" s="84" t="s">
        <v>83</v>
      </c>
      <c r="B38" s="84"/>
      <c r="C38" s="85"/>
      <c r="D38" s="85"/>
      <c r="E38" s="85"/>
      <c r="F38" s="85"/>
      <c r="G38" s="85"/>
      <c r="H38" s="84"/>
      <c r="I38" s="171"/>
      <c r="J38" s="87"/>
    </row>
    <row r="39" spans="1:11" ht="2.1" customHeight="1" x14ac:dyDescent="0.2">
      <c r="A39" s="86"/>
      <c r="B39" s="86"/>
      <c r="C39" s="86"/>
      <c r="D39" s="86"/>
      <c r="E39" s="86"/>
      <c r="F39" s="86"/>
      <c r="G39" s="86"/>
      <c r="I39" s="102"/>
    </row>
    <row r="40" spans="1:11" ht="12.75" customHeight="1" x14ac:dyDescent="0.2">
      <c r="A40" s="87" t="s">
        <v>56</v>
      </c>
      <c r="B40" s="86"/>
      <c r="C40" s="86"/>
      <c r="D40" s="86"/>
      <c r="E40" s="86"/>
      <c r="F40" s="86"/>
      <c r="G40" s="86"/>
      <c r="I40" s="102"/>
    </row>
    <row r="41" spans="1:11" ht="12.75" customHeight="1" x14ac:dyDescent="0.2">
      <c r="A41" s="14"/>
      <c r="B41" s="14"/>
      <c r="E41" s="88" t="s">
        <v>5</v>
      </c>
      <c r="F41" s="89" t="s">
        <v>4</v>
      </c>
      <c r="G41" s="89"/>
      <c r="H41" s="266" t="s">
        <v>92</v>
      </c>
      <c r="I41" s="266"/>
      <c r="J41" s="34"/>
    </row>
    <row r="42" spans="1:11" ht="12.75" customHeight="1" x14ac:dyDescent="0.2">
      <c r="B42" s="15" t="s">
        <v>40</v>
      </c>
      <c r="C42" s="30"/>
      <c r="D42" s="30"/>
      <c r="E42" s="80">
        <v>22</v>
      </c>
      <c r="F42" s="90" t="s">
        <v>50</v>
      </c>
      <c r="G42" s="89"/>
      <c r="H42" s="206"/>
      <c r="I42" s="207"/>
      <c r="J42" s="34"/>
    </row>
    <row r="43" spans="1:11" ht="12.75" customHeight="1" x14ac:dyDescent="0.2">
      <c r="B43" s="16" t="s">
        <v>41</v>
      </c>
      <c r="C43" s="31"/>
      <c r="D43" s="31"/>
      <c r="E43" s="81">
        <v>2</v>
      </c>
      <c r="F43" s="91" t="s">
        <v>6</v>
      </c>
      <c r="G43" s="89"/>
      <c r="H43" s="208"/>
      <c r="I43" s="209"/>
      <c r="J43" s="34"/>
    </row>
    <row r="44" spans="1:11" ht="12.75" customHeight="1" x14ac:dyDescent="0.2">
      <c r="B44" s="16" t="s">
        <v>42</v>
      </c>
      <c r="C44" s="31"/>
      <c r="D44" s="31"/>
      <c r="E44" s="81">
        <v>1</v>
      </c>
      <c r="F44" s="91" t="s">
        <v>6</v>
      </c>
      <c r="G44" s="89"/>
      <c r="H44" s="208"/>
      <c r="I44" s="209"/>
      <c r="J44" s="34"/>
    </row>
    <row r="45" spans="1:11" ht="12.75" customHeight="1" x14ac:dyDescent="0.2">
      <c r="B45" s="16" t="s">
        <v>43</v>
      </c>
      <c r="C45" s="31"/>
      <c r="D45" s="31"/>
      <c r="E45" s="81">
        <v>2</v>
      </c>
      <c r="F45" s="91" t="s">
        <v>6</v>
      </c>
      <c r="G45" s="89"/>
      <c r="H45" s="208"/>
      <c r="I45" s="209"/>
      <c r="J45" s="34"/>
    </row>
    <row r="46" spans="1:11" ht="4.5" customHeight="1" x14ac:dyDescent="0.2">
      <c r="A46" s="14"/>
      <c r="B46" s="14"/>
      <c r="E46" s="92"/>
      <c r="F46" s="92"/>
      <c r="G46" s="92"/>
      <c r="H46" s="208"/>
      <c r="I46" s="209"/>
      <c r="J46" s="34"/>
    </row>
    <row r="47" spans="1:11" ht="12.75" customHeight="1" x14ac:dyDescent="0.2">
      <c r="B47" s="256"/>
      <c r="C47" s="31" t="s">
        <v>86</v>
      </c>
      <c r="D47" s="31"/>
      <c r="E47" s="81">
        <v>0</v>
      </c>
      <c r="F47" s="91" t="s">
        <v>99</v>
      </c>
      <c r="G47" s="89"/>
      <c r="H47" s="210"/>
      <c r="I47" s="211"/>
      <c r="J47" s="34"/>
    </row>
    <row r="48" spans="1:11" ht="12.75" customHeight="1" x14ac:dyDescent="0.2">
      <c r="B48" s="256"/>
      <c r="C48" s="31" t="s">
        <v>87</v>
      </c>
      <c r="D48" s="31"/>
      <c r="E48" s="81">
        <v>0</v>
      </c>
      <c r="F48" s="91" t="s">
        <v>99</v>
      </c>
      <c r="G48" s="89"/>
      <c r="H48" s="208"/>
      <c r="I48" s="212"/>
      <c r="J48" s="34"/>
    </row>
    <row r="49" spans="1:10" ht="12.75" customHeight="1" x14ac:dyDescent="0.2">
      <c r="B49" s="256"/>
      <c r="C49" s="31" t="s">
        <v>88</v>
      </c>
      <c r="D49" s="31"/>
      <c r="E49" s="81">
        <v>0</v>
      </c>
      <c r="F49" s="91" t="s">
        <v>99</v>
      </c>
      <c r="G49" s="89"/>
      <c r="H49" s="208"/>
      <c r="I49" s="212"/>
      <c r="J49" s="34"/>
    </row>
    <row r="50" spans="1:10" ht="3.95" customHeight="1" x14ac:dyDescent="0.2">
      <c r="B50" s="14"/>
      <c r="C50" s="213"/>
      <c r="D50" s="213"/>
      <c r="E50" s="257"/>
      <c r="F50" s="214"/>
      <c r="G50" s="215"/>
      <c r="I50" s="172"/>
      <c r="J50" s="34"/>
    </row>
    <row r="51" spans="1:10" ht="12.75" customHeight="1" x14ac:dyDescent="0.2">
      <c r="B51" s="14" t="s">
        <v>39</v>
      </c>
      <c r="C51" s="93"/>
      <c r="D51" s="94"/>
      <c r="E51" s="105">
        <f>SUM(E42:E49)</f>
        <v>27</v>
      </c>
      <c r="F51" s="94"/>
      <c r="G51" s="94"/>
      <c r="I51" s="172"/>
      <c r="J51" s="1"/>
    </row>
    <row r="52" spans="1:10" ht="3.95" customHeight="1" x14ac:dyDescent="0.2">
      <c r="B52" s="14"/>
      <c r="C52" s="94"/>
      <c r="D52" s="94"/>
      <c r="E52" s="94"/>
      <c r="F52" s="94"/>
      <c r="G52" s="94"/>
      <c r="I52" s="172"/>
      <c r="J52" s="1"/>
    </row>
    <row r="53" spans="1:10" ht="12.95" customHeight="1" x14ac:dyDescent="0.2">
      <c r="A53" s="87" t="s">
        <v>15</v>
      </c>
      <c r="B53" s="87"/>
      <c r="C53" s="86"/>
      <c r="D53" s="86"/>
      <c r="E53" s="86"/>
      <c r="F53" s="86"/>
      <c r="G53" s="86"/>
      <c r="H53" s="173"/>
      <c r="I53" s="1"/>
    </row>
    <row r="54" spans="1:10" ht="4.5" customHeight="1" x14ac:dyDescent="0.2">
      <c r="A54" s="87"/>
      <c r="B54" s="87"/>
      <c r="C54" s="87"/>
      <c r="I54" s="1"/>
    </row>
    <row r="55" spans="1:10" ht="12.75" customHeight="1" x14ac:dyDescent="0.2">
      <c r="A55" s="95" t="s">
        <v>11</v>
      </c>
      <c r="B55" s="95"/>
      <c r="E55" s="113">
        <f>I36</f>
        <v>50000</v>
      </c>
      <c r="I55" s="1"/>
    </row>
    <row r="56" spans="1:10" ht="3.95" customHeight="1" x14ac:dyDescent="0.25">
      <c r="A56" s="14"/>
      <c r="B56" s="14"/>
      <c r="C56" s="14"/>
      <c r="D56" s="14"/>
      <c r="E56" s="93"/>
      <c r="I56"/>
    </row>
    <row r="57" spans="1:10" ht="12.75" customHeight="1" x14ac:dyDescent="0.2">
      <c r="A57" s="14" t="s">
        <v>52</v>
      </c>
      <c r="B57" s="14"/>
      <c r="E57" s="174">
        <f>0.03*E51+0.73</f>
        <v>1.54</v>
      </c>
      <c r="F57" s="271" t="str">
        <f>IF(I36&lt;50000,"! gemäß TA.9 (3): Ist die Bemessungsgrundlage niedriger als 50.000 €, sollte der Ermittlungsweg über Abschätzung des Büro- / Personalaufwandes gewählt werden","")</f>
        <v/>
      </c>
      <c r="G57" s="271"/>
      <c r="H57" s="271"/>
      <c r="I57" s="271"/>
    </row>
    <row r="58" spans="1:10" ht="3.95" customHeight="1" x14ac:dyDescent="0.2">
      <c r="A58" s="14"/>
      <c r="B58" s="14"/>
      <c r="E58" s="24"/>
      <c r="F58" s="271"/>
      <c r="G58" s="271"/>
      <c r="H58" s="271"/>
      <c r="I58" s="271"/>
    </row>
    <row r="59" spans="1:10" ht="12.75" customHeight="1" x14ac:dyDescent="0.2">
      <c r="A59" s="14" t="s">
        <v>54</v>
      </c>
      <c r="B59" s="14"/>
      <c r="E59" s="185">
        <f>ROUND(IF(E55&lt;2000000,202*E55^(-0.2248)*E57/100,(37.8*E55^(-0.109)*E57/100)),6)</f>
        <v>0.27323999999999998</v>
      </c>
      <c r="F59" s="271"/>
      <c r="G59" s="271"/>
      <c r="H59" s="271"/>
      <c r="I59" s="271"/>
    </row>
    <row r="60" spans="1:10" ht="15.95" customHeight="1" x14ac:dyDescent="0.3">
      <c r="A60" s="19" t="s">
        <v>57</v>
      </c>
      <c r="B60" s="19"/>
      <c r="E60" s="216">
        <f>202*E55^(-0.2248)*E57/100</f>
        <v>0.27323999999999998</v>
      </c>
      <c r="F60" s="175" t="str">
        <f>IF(E55&lt;2000000,"(PL + ÖBA)","")</f>
        <v>(PL + ÖBA)</v>
      </c>
      <c r="G60" s="175"/>
      <c r="I60"/>
    </row>
    <row r="61" spans="1:10" ht="15.95" customHeight="1" x14ac:dyDescent="0.3">
      <c r="A61" s="19" t="s">
        <v>58</v>
      </c>
      <c r="B61" s="19"/>
      <c r="C61" s="19"/>
      <c r="E61" s="216">
        <f>37.8*E55^(-0.109)*E57/100</f>
        <v>0.17898800000000001</v>
      </c>
      <c r="F61" s="217" t="str">
        <f>IF(E55&gt;1999999.99,"(PL + ÖBA)","")</f>
        <v/>
      </c>
      <c r="G61" s="217"/>
      <c r="I61"/>
    </row>
    <row r="62" spans="1:10" ht="13.5" customHeight="1" x14ac:dyDescent="0.25">
      <c r="A62" s="19" t="s">
        <v>68</v>
      </c>
      <c r="B62" s="19"/>
      <c r="C62" s="19"/>
      <c r="E62" s="115">
        <v>0</v>
      </c>
      <c r="F62" s="217"/>
      <c r="H62" s="1"/>
      <c r="I62"/>
    </row>
    <row r="63" spans="1:10" ht="2.1" customHeight="1" x14ac:dyDescent="0.25">
      <c r="A63" s="14"/>
      <c r="B63" s="14"/>
      <c r="E63" s="96"/>
      <c r="F63" s="96"/>
      <c r="G63" s="96"/>
      <c r="H63" s="1"/>
      <c r="I63"/>
    </row>
    <row r="64" spans="1:10" ht="15" customHeight="1" x14ac:dyDescent="0.3">
      <c r="A64" s="17" t="s">
        <v>79</v>
      </c>
      <c r="B64" s="15"/>
      <c r="C64" s="97"/>
      <c r="D64" s="97"/>
      <c r="E64" s="98"/>
      <c r="F64" s="218">
        <f>ROUND(E55*E59*(1+E62),2)</f>
        <v>13662</v>
      </c>
      <c r="G64" s="217"/>
      <c r="I64" s="1"/>
    </row>
    <row r="65" spans="1:11" ht="12.95" customHeight="1" x14ac:dyDescent="0.2">
      <c r="A65" s="19"/>
      <c r="B65" s="14"/>
      <c r="C65" s="86"/>
      <c r="D65" s="219" t="s">
        <v>80</v>
      </c>
      <c r="E65" s="220" t="s">
        <v>5</v>
      </c>
      <c r="F65" s="99"/>
      <c r="G65" s="221"/>
      <c r="H65" s="92"/>
      <c r="I65" s="25"/>
    </row>
    <row r="66" spans="1:11" ht="12.75" customHeight="1" x14ac:dyDescent="0.2">
      <c r="A66" s="86" t="s">
        <v>47</v>
      </c>
      <c r="B66" s="86"/>
      <c r="D66" s="186">
        <v>0.02</v>
      </c>
      <c r="E66" s="114">
        <v>0.02</v>
      </c>
      <c r="F66" s="102">
        <f t="shared" ref="F66:F75" si="1">$F$64*E66</f>
        <v>273</v>
      </c>
      <c r="G66" s="222"/>
      <c r="H66" s="258"/>
      <c r="I66" s="102"/>
    </row>
    <row r="67" spans="1:11" ht="12.75" customHeight="1" x14ac:dyDescent="0.2">
      <c r="A67" s="86" t="s">
        <v>33</v>
      </c>
      <c r="B67" s="86"/>
      <c r="D67" s="186">
        <v>0.09</v>
      </c>
      <c r="E67" s="115">
        <v>0.09</v>
      </c>
      <c r="F67" s="102">
        <f t="shared" si="1"/>
        <v>1230</v>
      </c>
      <c r="G67" s="223"/>
      <c r="H67" s="259"/>
      <c r="I67" s="102"/>
    </row>
    <row r="68" spans="1:11" ht="12.75" customHeight="1" x14ac:dyDescent="0.2">
      <c r="A68" s="86" t="s">
        <v>34</v>
      </c>
      <c r="B68" s="86"/>
      <c r="D68" s="186">
        <v>0.16</v>
      </c>
      <c r="E68" s="115">
        <v>0.16</v>
      </c>
      <c r="F68" s="102">
        <f t="shared" si="1"/>
        <v>2186</v>
      </c>
      <c r="G68" s="223"/>
      <c r="H68" s="259"/>
      <c r="I68" s="102"/>
    </row>
    <row r="69" spans="1:11" ht="12.75" customHeight="1" x14ac:dyDescent="0.2">
      <c r="A69" s="86" t="s">
        <v>35</v>
      </c>
      <c r="B69" s="86"/>
      <c r="D69" s="186">
        <v>0.05</v>
      </c>
      <c r="E69" s="115">
        <v>0.05</v>
      </c>
      <c r="F69" s="102">
        <f t="shared" si="1"/>
        <v>683</v>
      </c>
      <c r="G69" s="223"/>
      <c r="H69" s="259"/>
      <c r="I69" s="102"/>
      <c r="K69" s="1" t="s">
        <v>59</v>
      </c>
    </row>
    <row r="70" spans="1:11" ht="12.75" customHeight="1" x14ac:dyDescent="0.2">
      <c r="A70" s="86" t="s">
        <v>36</v>
      </c>
      <c r="B70" s="86"/>
      <c r="D70" s="186">
        <v>0.2</v>
      </c>
      <c r="E70" s="115">
        <v>0.2</v>
      </c>
      <c r="F70" s="102">
        <f t="shared" si="1"/>
        <v>2732</v>
      </c>
      <c r="G70" s="223"/>
      <c r="H70" s="259"/>
      <c r="I70" s="102"/>
    </row>
    <row r="71" spans="1:11" ht="12.75" customHeight="1" x14ac:dyDescent="0.2">
      <c r="A71" s="86" t="s">
        <v>37</v>
      </c>
      <c r="B71" s="86"/>
      <c r="D71" s="186">
        <v>0.05</v>
      </c>
      <c r="E71" s="115">
        <v>0.05</v>
      </c>
      <c r="F71" s="102">
        <f t="shared" si="1"/>
        <v>683</v>
      </c>
      <c r="G71" s="222"/>
      <c r="H71" s="258"/>
      <c r="I71" s="102"/>
    </row>
    <row r="72" spans="1:11" ht="12.75" customHeight="1" x14ac:dyDescent="0.2">
      <c r="A72" s="86" t="s">
        <v>51</v>
      </c>
      <c r="B72" s="86"/>
      <c r="D72" s="186">
        <v>0.02</v>
      </c>
      <c r="E72" s="115">
        <v>0.02</v>
      </c>
      <c r="F72" s="102">
        <f t="shared" si="1"/>
        <v>273</v>
      </c>
      <c r="G72" s="223"/>
      <c r="H72" s="259"/>
      <c r="I72" s="102"/>
    </row>
    <row r="73" spans="1:11" ht="12.75" customHeight="1" x14ac:dyDescent="0.2">
      <c r="A73" s="86" t="s">
        <v>48</v>
      </c>
      <c r="B73" s="86"/>
      <c r="D73" s="186">
        <v>0.04</v>
      </c>
      <c r="E73" s="115">
        <v>0.04</v>
      </c>
      <c r="F73" s="102">
        <f t="shared" si="1"/>
        <v>546</v>
      </c>
      <c r="G73" s="223"/>
      <c r="H73" s="259"/>
      <c r="I73" s="102"/>
    </row>
    <row r="74" spans="1:11" ht="12.75" customHeight="1" x14ac:dyDescent="0.2">
      <c r="A74" s="86" t="s">
        <v>53</v>
      </c>
      <c r="B74" s="86"/>
      <c r="D74" s="186">
        <v>0.35</v>
      </c>
      <c r="E74" s="115">
        <v>0.35</v>
      </c>
      <c r="F74" s="102">
        <f t="shared" si="1"/>
        <v>4782</v>
      </c>
      <c r="G74" s="223"/>
      <c r="H74" s="259"/>
      <c r="I74" s="102"/>
    </row>
    <row r="75" spans="1:11" ht="12.75" customHeight="1" x14ac:dyDescent="0.2">
      <c r="A75" s="97" t="s">
        <v>49</v>
      </c>
      <c r="B75" s="97"/>
      <c r="C75" s="30"/>
      <c r="D75" s="187">
        <v>0.02</v>
      </c>
      <c r="E75" s="116">
        <v>0.02</v>
      </c>
      <c r="F75" s="103">
        <f t="shared" si="1"/>
        <v>273</v>
      </c>
      <c r="G75" s="224"/>
      <c r="H75" s="260"/>
      <c r="I75" s="103"/>
    </row>
    <row r="76" spans="1:11" s="244" customFormat="1" ht="18.600000000000001" customHeight="1" x14ac:dyDescent="0.25">
      <c r="A76" s="242" t="s">
        <v>38</v>
      </c>
      <c r="B76" s="243"/>
      <c r="D76" s="263">
        <f>SUM(D66:D75)</f>
        <v>1</v>
      </c>
      <c r="E76" s="245">
        <f>SUM(E66:E75)</f>
        <v>1</v>
      </c>
      <c r="F76" s="246">
        <f>SUM(F66:F75)</f>
        <v>13661</v>
      </c>
      <c r="G76" s="247"/>
      <c r="H76" s="245"/>
      <c r="I76" s="246"/>
      <c r="J76" s="248"/>
    </row>
    <row r="77" spans="1:11" ht="12.75" customHeight="1" x14ac:dyDescent="0.2">
      <c r="A77" s="249" t="s">
        <v>93</v>
      </c>
      <c r="B77" s="100"/>
      <c r="D77" s="225">
        <v>0.02</v>
      </c>
      <c r="E77" s="114">
        <v>0.02</v>
      </c>
      <c r="F77" s="102">
        <f t="shared" ref="F77:F84" si="2">$F$64*E77</f>
        <v>273</v>
      </c>
      <c r="G77" s="101"/>
      <c r="H77" s="102"/>
      <c r="I77" s="70"/>
    </row>
    <row r="78" spans="1:11" ht="12.75" customHeight="1" x14ac:dyDescent="0.2">
      <c r="A78" s="249" t="s">
        <v>94</v>
      </c>
      <c r="B78" s="100"/>
      <c r="D78" s="225">
        <v>1.4999999999999999E-2</v>
      </c>
      <c r="E78" s="115">
        <v>0</v>
      </c>
      <c r="F78" s="102">
        <f t="shared" si="2"/>
        <v>0</v>
      </c>
      <c r="G78" s="101"/>
      <c r="H78" s="102"/>
      <c r="I78" s="70"/>
    </row>
    <row r="79" spans="1:11" ht="12.75" customHeight="1" x14ac:dyDescent="0.2">
      <c r="A79" s="249" t="s">
        <v>95</v>
      </c>
      <c r="B79" s="100"/>
      <c r="D79" s="225">
        <v>2.5000000000000001E-2</v>
      </c>
      <c r="E79" s="115">
        <v>0</v>
      </c>
      <c r="F79" s="102">
        <f t="shared" si="2"/>
        <v>0</v>
      </c>
      <c r="G79" s="101"/>
      <c r="H79" s="102"/>
      <c r="I79" s="70"/>
    </row>
    <row r="80" spans="1:11" ht="12.75" customHeight="1" x14ac:dyDescent="0.2">
      <c r="A80" s="249" t="s">
        <v>96</v>
      </c>
      <c r="B80" s="100"/>
      <c r="D80" s="225">
        <v>0.03</v>
      </c>
      <c r="E80" s="226">
        <v>0</v>
      </c>
      <c r="F80" s="102">
        <f t="shared" si="2"/>
        <v>0</v>
      </c>
      <c r="G80" s="101"/>
      <c r="H80" s="102"/>
      <c r="I80" s="70"/>
    </row>
    <row r="81" spans="1:13" ht="12.75" customHeight="1" x14ac:dyDescent="0.2">
      <c r="A81" s="249" t="s">
        <v>97</v>
      </c>
      <c r="B81" s="100"/>
      <c r="D81" s="225">
        <v>0.02</v>
      </c>
      <c r="E81" s="227">
        <v>0</v>
      </c>
      <c r="F81" s="102">
        <f t="shared" si="2"/>
        <v>0</v>
      </c>
      <c r="G81" s="101"/>
      <c r="H81" s="102"/>
      <c r="I81" s="70"/>
    </row>
    <row r="82" spans="1:13" ht="12.75" customHeight="1" x14ac:dyDescent="0.2">
      <c r="A82" s="249" t="s">
        <v>98</v>
      </c>
      <c r="B82" s="100"/>
      <c r="D82" s="222">
        <v>0.01</v>
      </c>
      <c r="E82" s="227">
        <v>0</v>
      </c>
      <c r="F82" s="102">
        <f t="shared" si="2"/>
        <v>0</v>
      </c>
      <c r="G82" s="101"/>
      <c r="H82" s="102"/>
      <c r="I82" s="70"/>
    </row>
    <row r="83" spans="1:13" ht="13.5" customHeight="1" x14ac:dyDescent="0.2">
      <c r="A83" s="274" t="s">
        <v>107</v>
      </c>
      <c r="B83" s="100"/>
      <c r="D83" s="222">
        <v>0.01</v>
      </c>
      <c r="E83" s="227">
        <v>0</v>
      </c>
      <c r="F83" s="102">
        <f t="shared" si="2"/>
        <v>0</v>
      </c>
      <c r="G83" s="101"/>
      <c r="H83" s="102"/>
      <c r="I83" s="70"/>
    </row>
    <row r="84" spans="1:13" ht="12.75" customHeight="1" x14ac:dyDescent="0.2">
      <c r="A84" s="275" t="s">
        <v>108</v>
      </c>
      <c r="B84" s="250"/>
      <c r="C84" s="30"/>
      <c r="D84" s="251">
        <v>0.04</v>
      </c>
      <c r="E84" s="116">
        <v>0</v>
      </c>
      <c r="F84" s="103">
        <f t="shared" si="2"/>
        <v>0</v>
      </c>
      <c r="G84" s="261"/>
      <c r="H84" s="103"/>
      <c r="I84" s="252"/>
      <c r="J84" s="1"/>
    </row>
    <row r="85" spans="1:13" ht="12.75" customHeight="1" x14ac:dyDescent="0.2">
      <c r="A85" s="270" t="s">
        <v>104</v>
      </c>
      <c r="B85" s="270"/>
      <c r="C85" s="270"/>
      <c r="D85" s="262">
        <f>SUM(D76:D84)</f>
        <v>1.17</v>
      </c>
      <c r="E85" s="101">
        <f>SUM(E76:E84)</f>
        <v>1.02</v>
      </c>
      <c r="F85" s="247">
        <f>F76+SUM(F77:F84)</f>
        <v>13934</v>
      </c>
      <c r="H85" s="101"/>
      <c r="I85" s="254">
        <f>F85</f>
        <v>13934</v>
      </c>
      <c r="J85" s="1"/>
      <c r="K85" s="8"/>
    </row>
    <row r="86" spans="1:13" ht="12.75" customHeight="1" x14ac:dyDescent="0.2">
      <c r="A86" s="176"/>
      <c r="B86" s="14"/>
      <c r="D86" s="101"/>
      <c r="E86" s="101"/>
      <c r="F86" s="104"/>
      <c r="G86" s="7"/>
      <c r="I86" s="253"/>
      <c r="J86" s="1"/>
    </row>
    <row r="87" spans="1:13" ht="12.75" customHeight="1" x14ac:dyDescent="0.25">
      <c r="A87" s="28" t="s">
        <v>67</v>
      </c>
      <c r="E87" s="232">
        <v>0</v>
      </c>
      <c r="F87" s="169">
        <v>0</v>
      </c>
      <c r="G87" s="7"/>
      <c r="I87" s="70">
        <f>E87*F87</f>
        <v>0</v>
      </c>
      <c r="K87"/>
      <c r="L87"/>
      <c r="M87"/>
    </row>
    <row r="88" spans="1:13" ht="3" customHeight="1" x14ac:dyDescent="0.25">
      <c r="E88" s="177"/>
      <c r="I88"/>
    </row>
    <row r="89" spans="1:13" s="19" customFormat="1" ht="12.75" x14ac:dyDescent="0.2">
      <c r="A89" s="73" t="s">
        <v>69</v>
      </c>
      <c r="B89" s="74"/>
      <c r="C89" s="75"/>
      <c r="D89" s="77"/>
      <c r="E89" s="178"/>
      <c r="F89" s="76"/>
      <c r="G89" s="76"/>
      <c r="H89" s="76"/>
      <c r="I89" s="78">
        <f>I85+I87</f>
        <v>13934</v>
      </c>
    </row>
    <row r="90" spans="1:13" s="19" customFormat="1" ht="3" customHeight="1" x14ac:dyDescent="0.2">
      <c r="B90" s="20"/>
      <c r="C90" s="21"/>
      <c r="D90" s="39"/>
      <c r="E90" s="40"/>
      <c r="F90" s="40"/>
      <c r="G90" s="40"/>
      <c r="I90" s="70"/>
    </row>
    <row r="91" spans="1:13" s="19" customFormat="1" ht="12.75" x14ac:dyDescent="0.2">
      <c r="A91" s="41" t="s">
        <v>13</v>
      </c>
      <c r="B91" s="20"/>
      <c r="C91" s="21"/>
      <c r="D91" s="39"/>
      <c r="E91" s="117">
        <v>0.04</v>
      </c>
      <c r="F91" s="40"/>
      <c r="G91" s="40"/>
      <c r="I91" s="70">
        <f>ROUND(I89*E91,2)</f>
        <v>557</v>
      </c>
    </row>
    <row r="92" spans="1:13" s="19" customFormat="1" ht="3" customHeight="1" x14ac:dyDescent="0.2">
      <c r="A92" s="42"/>
      <c r="B92" s="43"/>
      <c r="C92" s="44"/>
      <c r="D92" s="48"/>
      <c r="E92" s="118"/>
      <c r="F92" s="52"/>
      <c r="G92" s="52"/>
      <c r="H92" s="42"/>
      <c r="I92" s="72"/>
    </row>
    <row r="93" spans="1:13" s="19" customFormat="1" ht="3" customHeight="1" x14ac:dyDescent="0.2">
      <c r="B93" s="20"/>
      <c r="C93" s="21"/>
      <c r="D93" s="49"/>
      <c r="E93" s="119"/>
      <c r="F93" s="53"/>
      <c r="G93" s="53"/>
      <c r="H93" s="50"/>
      <c r="I93" s="70"/>
    </row>
    <row r="94" spans="1:13" s="19" customFormat="1" ht="12.75" x14ac:dyDescent="0.2">
      <c r="A94" s="45" t="s">
        <v>70</v>
      </c>
      <c r="B94" s="46"/>
      <c r="C94" s="47"/>
      <c r="D94" s="22"/>
      <c r="E94" s="120"/>
      <c r="F94" s="40"/>
      <c r="G94" s="40"/>
      <c r="I94" s="71">
        <f>I89+I91</f>
        <v>14491</v>
      </c>
    </row>
    <row r="95" spans="1:13" s="19" customFormat="1" ht="12.75" x14ac:dyDescent="0.2">
      <c r="A95" s="19" t="s">
        <v>14</v>
      </c>
      <c r="B95" s="20"/>
      <c r="C95" s="21"/>
      <c r="D95" s="22"/>
      <c r="E95" s="23">
        <v>0.2</v>
      </c>
      <c r="F95" s="23"/>
      <c r="G95" s="23"/>
      <c r="I95" s="70">
        <f>ROUND(I94*E95,2)</f>
        <v>2898</v>
      </c>
    </row>
    <row r="96" spans="1:13" s="19" customFormat="1" ht="3" customHeight="1" x14ac:dyDescent="0.2">
      <c r="B96" s="20"/>
      <c r="C96" s="21"/>
      <c r="D96" s="22"/>
      <c r="E96" s="40"/>
      <c r="F96" s="40"/>
      <c r="G96" s="40"/>
      <c r="I96" s="70"/>
    </row>
    <row r="97" spans="1:13" s="19" customFormat="1" ht="12.75" x14ac:dyDescent="0.2">
      <c r="A97" s="121" t="s">
        <v>71</v>
      </c>
      <c r="B97" s="122"/>
      <c r="C97" s="123"/>
      <c r="D97" s="125"/>
      <c r="E97" s="126"/>
      <c r="F97" s="126"/>
      <c r="G97" s="126"/>
      <c r="H97" s="124"/>
      <c r="I97" s="127">
        <f>SUM(I93:I95)</f>
        <v>17389</v>
      </c>
    </row>
    <row r="98" spans="1:13" s="8" customFormat="1" ht="3" customHeight="1" x14ac:dyDescent="0.2">
      <c r="A98" s="1"/>
      <c r="B98" s="6"/>
      <c r="C98" s="1"/>
      <c r="D98" s="1"/>
      <c r="E98" s="1"/>
      <c r="F98" s="1"/>
      <c r="G98" s="1"/>
      <c r="H98" s="7"/>
      <c r="K98" s="1"/>
      <c r="L98" s="1"/>
      <c r="M98" s="1"/>
    </row>
    <row r="99" spans="1:13" ht="12.75" x14ac:dyDescent="0.2">
      <c r="A99" s="128" t="s">
        <v>61</v>
      </c>
      <c r="E99" s="179">
        <f>I94/E32</f>
        <v>4.9100000000000001E-4</v>
      </c>
    </row>
  </sheetData>
  <sheetProtection algorithmName="SHA-512" hashValue="HSXakVsPE1LrbcWFbAmQ2O9AN1XVLH52l1eSKEKwM11ONnZfe9wTwUvWnod+I5g5CKFgoiYaU/s7Z1OdXfvVEQ==" saltValue="vu26z+3VYvAioTrfB9VMtg==" spinCount="100000" sheet="1" objects="1" scenarios="1"/>
  <mergeCells count="13">
    <mergeCell ref="A85:C85"/>
    <mergeCell ref="F57:I59"/>
    <mergeCell ref="H2:I2"/>
    <mergeCell ref="A6:B6"/>
    <mergeCell ref="A8:B8"/>
    <mergeCell ref="A10:B10"/>
    <mergeCell ref="A20:B20"/>
    <mergeCell ref="A22:B22"/>
    <mergeCell ref="A24:B24"/>
    <mergeCell ref="A26:B26"/>
    <mergeCell ref="A28:B28"/>
    <mergeCell ref="A30:B30"/>
    <mergeCell ref="H41:I41"/>
  </mergeCells>
  <conditionalFormatting sqref="E60">
    <cfRule type="expression" dxfId="3" priority="2" stopIfTrue="1">
      <formula>$E$55&gt;1999999.99</formula>
    </cfRule>
  </conditionalFormatting>
  <conditionalFormatting sqref="E61">
    <cfRule type="expression" dxfId="2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&amp;L&amp;"Arial,Fett"&amp;K01+020Angebot TA | Anlagengruppen aufgegliedert
&amp;"Arial,Standard"nach LM.VM.2023&amp;R&amp;"Arial,Standard"&amp;K01+021Version 1
Stand: 15.09.2023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Scroll Bar 5">
              <controlPr defaultSize="0" autoPict="0">
                <anchor moveWithCells="1">
                  <from>
                    <xdr:col>7</xdr:col>
                    <xdr:colOff>19050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Scroll Bar 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Scroll Bar 7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3EBD4-C550-4EC0-8005-1CA427181CFC}">
  <sheetPr>
    <tabColor theme="5" tint="0.39997558519241921"/>
  </sheetPr>
  <dimension ref="A1:M99"/>
  <sheetViews>
    <sheetView showGridLines="0" zoomScaleNormal="100" zoomScaleSheetLayoutView="85" zoomScalePageLayoutView="70" workbookViewId="0">
      <selection activeCell="I70" sqref="I70"/>
    </sheetView>
  </sheetViews>
  <sheetFormatPr baseColWidth="10" defaultColWidth="11.5703125" defaultRowHeight="12" x14ac:dyDescent="0.2"/>
  <cols>
    <col min="1" max="1" width="1.5703125" style="1" customWidth="1"/>
    <col min="2" max="2" width="3.28515625" style="6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7" customWidth="1" collapsed="1"/>
    <col min="9" max="9" width="15.7109375" style="8" customWidth="1"/>
    <col min="10" max="10" width="2.7109375" style="8" customWidth="1"/>
    <col min="11" max="16384" width="11.5703125" style="1"/>
  </cols>
  <sheetData>
    <row r="1" spans="1:10" ht="5.0999999999999996" customHeight="1" x14ac:dyDescent="0.2"/>
    <row r="2" spans="1:10" s="32" customFormat="1" ht="23.25" customHeight="1" x14ac:dyDescent="0.2">
      <c r="A2" s="79" t="s">
        <v>60</v>
      </c>
      <c r="E2" s="33"/>
      <c r="F2" s="33"/>
      <c r="G2" s="33"/>
      <c r="H2" s="267" t="s">
        <v>89</v>
      </c>
      <c r="I2" s="267"/>
      <c r="J2" s="35"/>
    </row>
    <row r="3" spans="1:10" s="9" customFormat="1" ht="2.1" customHeight="1" x14ac:dyDescent="0.25">
      <c r="A3" s="58"/>
      <c r="B3" s="58"/>
      <c r="C3" s="58"/>
      <c r="D3" s="58"/>
      <c r="E3" s="58"/>
      <c r="F3" s="58"/>
      <c r="G3" s="58"/>
      <c r="H3" s="58"/>
      <c r="I3" s="59"/>
      <c r="J3" s="2"/>
    </row>
    <row r="4" spans="1:10" s="9" customFormat="1" ht="2.1" customHeight="1" x14ac:dyDescent="0.25">
      <c r="I4" s="2"/>
      <c r="J4" s="2"/>
    </row>
    <row r="5" spans="1:10" s="9" customFormat="1" ht="12.95" customHeight="1" x14ac:dyDescent="0.25">
      <c r="D5" s="56" t="s">
        <v>55</v>
      </c>
      <c r="E5" s="26" t="s">
        <v>44</v>
      </c>
      <c r="F5" s="26"/>
      <c r="G5" s="26"/>
      <c r="H5" s="11" t="s">
        <v>16</v>
      </c>
      <c r="I5" s="68" t="s">
        <v>45</v>
      </c>
      <c r="J5" s="26"/>
    </row>
    <row r="6" spans="1:10" s="10" customFormat="1" ht="12.95" customHeight="1" x14ac:dyDescent="0.2">
      <c r="A6" s="265">
        <v>1</v>
      </c>
      <c r="B6" s="265"/>
      <c r="C6" s="61" t="s">
        <v>0</v>
      </c>
      <c r="D6" s="106">
        <f>E6/$E$32</f>
        <v>0</v>
      </c>
      <c r="E6" s="192">
        <f>_1</f>
        <v>10000</v>
      </c>
      <c r="F6" s="231"/>
      <c r="G6" s="231"/>
      <c r="H6" s="191">
        <v>0</v>
      </c>
      <c r="I6" s="192">
        <f>E6*H6</f>
        <v>0</v>
      </c>
      <c r="J6" s="29"/>
    </row>
    <row r="7" spans="1:10" ht="3.95" customHeight="1" x14ac:dyDescent="0.2">
      <c r="B7" s="3"/>
      <c r="D7" s="107"/>
      <c r="E7" s="36"/>
      <c r="F7" s="28"/>
      <c r="G7" s="28"/>
      <c r="H7" s="193"/>
      <c r="I7" s="36"/>
      <c r="J7" s="36"/>
    </row>
    <row r="8" spans="1:10" s="10" customFormat="1" ht="12.95" customHeight="1" x14ac:dyDescent="0.2">
      <c r="A8" s="265">
        <v>2</v>
      </c>
      <c r="B8" s="265"/>
      <c r="C8" s="61" t="s">
        <v>1</v>
      </c>
      <c r="D8" s="106">
        <f>E8/$E$32</f>
        <v>0.30499999999999999</v>
      </c>
      <c r="E8" s="192">
        <f>_2</f>
        <v>9000000</v>
      </c>
      <c r="F8" s="231"/>
      <c r="G8" s="231"/>
      <c r="H8" s="194">
        <v>0</v>
      </c>
      <c r="I8" s="192">
        <f>E8*H8</f>
        <v>0</v>
      </c>
      <c r="J8" s="29"/>
    </row>
    <row r="9" spans="1:10" ht="3.95" customHeight="1" x14ac:dyDescent="0.2">
      <c r="D9" s="107"/>
      <c r="E9" s="29"/>
      <c r="F9" s="28"/>
      <c r="G9" s="28"/>
      <c r="H9" s="193"/>
      <c r="I9" s="29"/>
      <c r="J9" s="29"/>
    </row>
    <row r="10" spans="1:10" s="9" customFormat="1" ht="12.95" customHeight="1" x14ac:dyDescent="0.2">
      <c r="A10" s="265">
        <v>3</v>
      </c>
      <c r="B10" s="265"/>
      <c r="C10" s="61" t="s">
        <v>7</v>
      </c>
      <c r="D10" s="106">
        <f>E10/$E$32</f>
        <v>0.193</v>
      </c>
      <c r="E10" s="195">
        <f>_3</f>
        <v>5700000</v>
      </c>
      <c r="F10" s="231"/>
      <c r="G10" s="231"/>
      <c r="H10" s="193"/>
      <c r="I10" s="29"/>
      <c r="J10" s="29"/>
    </row>
    <row r="11" spans="1:10" ht="12.95" customHeight="1" x14ac:dyDescent="0.2">
      <c r="A11" s="188">
        <v>3</v>
      </c>
      <c r="B11" s="63" t="s">
        <v>17</v>
      </c>
      <c r="C11" s="64" t="s">
        <v>18</v>
      </c>
      <c r="D11" s="108"/>
      <c r="E11" s="228">
        <f>_3.01</f>
        <v>900000</v>
      </c>
      <c r="F11" s="231"/>
      <c r="G11" s="231"/>
      <c r="H11" s="194">
        <v>0</v>
      </c>
      <c r="I11" s="197">
        <f t="shared" ref="I11:I18" si="0">E11*H11</f>
        <v>0</v>
      </c>
      <c r="J11" s="29"/>
    </row>
    <row r="12" spans="1:10" ht="12.95" customHeight="1" x14ac:dyDescent="0.2">
      <c r="A12" s="189">
        <v>3</v>
      </c>
      <c r="B12" s="66" t="s">
        <v>19</v>
      </c>
      <c r="C12" s="67" t="s">
        <v>26</v>
      </c>
      <c r="D12" s="109"/>
      <c r="E12" s="229">
        <f>_3.02</f>
        <v>1200000</v>
      </c>
      <c r="F12" s="231"/>
      <c r="G12" s="231"/>
      <c r="H12" s="194">
        <v>0</v>
      </c>
      <c r="I12" s="198">
        <f t="shared" si="0"/>
        <v>0</v>
      </c>
      <c r="J12" s="29"/>
    </row>
    <row r="13" spans="1:10" ht="12.95" customHeight="1" x14ac:dyDescent="0.2">
      <c r="A13" s="189">
        <v>3</v>
      </c>
      <c r="B13" s="66" t="s">
        <v>20</v>
      </c>
      <c r="C13" s="67" t="s">
        <v>27</v>
      </c>
      <c r="D13" s="109"/>
      <c r="E13" s="230">
        <f>_3.03</f>
        <v>1000000</v>
      </c>
      <c r="F13" s="231"/>
      <c r="G13" s="231"/>
      <c r="H13" s="194">
        <v>0</v>
      </c>
      <c r="I13" s="198">
        <f t="shared" si="0"/>
        <v>0</v>
      </c>
      <c r="J13" s="29"/>
    </row>
    <row r="14" spans="1:10" ht="12.95" customHeight="1" x14ac:dyDescent="0.2">
      <c r="A14" s="189">
        <v>3</v>
      </c>
      <c r="B14" s="66" t="s">
        <v>21</v>
      </c>
      <c r="C14" s="67" t="s">
        <v>28</v>
      </c>
      <c r="D14" s="109"/>
      <c r="E14" s="230">
        <f>_3.04</f>
        <v>1500000</v>
      </c>
      <c r="F14" s="231"/>
      <c r="G14" s="231"/>
      <c r="H14" s="194">
        <v>0</v>
      </c>
      <c r="I14" s="198">
        <f t="shared" si="0"/>
        <v>0</v>
      </c>
      <c r="J14" s="29"/>
    </row>
    <row r="15" spans="1:10" ht="12.95" customHeight="1" x14ac:dyDescent="0.2">
      <c r="A15" s="189">
        <v>3</v>
      </c>
      <c r="B15" s="66" t="s">
        <v>22</v>
      </c>
      <c r="C15" s="67" t="s">
        <v>31</v>
      </c>
      <c r="D15" s="109"/>
      <c r="E15" s="230">
        <f>_3.05</f>
        <v>600000</v>
      </c>
      <c r="F15" s="231"/>
      <c r="G15" s="231"/>
      <c r="H15" s="194">
        <v>0</v>
      </c>
      <c r="I15" s="198">
        <f t="shared" si="0"/>
        <v>0</v>
      </c>
      <c r="J15" s="29"/>
    </row>
    <row r="16" spans="1:10" ht="12.95" customHeight="1" x14ac:dyDescent="0.2">
      <c r="A16" s="189">
        <v>3</v>
      </c>
      <c r="B16" s="66" t="s">
        <v>23</v>
      </c>
      <c r="C16" s="67" t="s">
        <v>29</v>
      </c>
      <c r="D16" s="109"/>
      <c r="E16" s="230">
        <f>_3.06</f>
        <v>150000</v>
      </c>
      <c r="F16" s="231"/>
      <c r="G16" s="231"/>
      <c r="H16" s="194">
        <v>0</v>
      </c>
      <c r="I16" s="198">
        <f t="shared" si="0"/>
        <v>0</v>
      </c>
      <c r="J16" s="29"/>
    </row>
    <row r="17" spans="1:10" ht="12.95" customHeight="1" x14ac:dyDescent="0.2">
      <c r="A17" s="189">
        <v>3</v>
      </c>
      <c r="B17" s="66" t="s">
        <v>24</v>
      </c>
      <c r="C17" s="67" t="s">
        <v>30</v>
      </c>
      <c r="D17" s="109"/>
      <c r="E17" s="230">
        <f>_3.07</f>
        <v>50000</v>
      </c>
      <c r="F17" s="231"/>
      <c r="G17" s="231"/>
      <c r="H17" s="194">
        <v>0</v>
      </c>
      <c r="I17" s="198">
        <f t="shared" si="0"/>
        <v>0</v>
      </c>
      <c r="J17" s="29"/>
    </row>
    <row r="18" spans="1:10" ht="12.95" customHeight="1" x14ac:dyDescent="0.2">
      <c r="A18" s="189">
        <v>3</v>
      </c>
      <c r="B18" s="66" t="s">
        <v>25</v>
      </c>
      <c r="C18" s="67" t="s">
        <v>8</v>
      </c>
      <c r="D18" s="109"/>
      <c r="E18" s="230">
        <f>_3.08</f>
        <v>300000</v>
      </c>
      <c r="F18" s="231"/>
      <c r="G18" s="231"/>
      <c r="H18" s="194">
        <v>1</v>
      </c>
      <c r="I18" s="199">
        <f t="shared" si="0"/>
        <v>300000</v>
      </c>
      <c r="J18" s="29"/>
    </row>
    <row r="19" spans="1:10" ht="3.95" customHeight="1" x14ac:dyDescent="0.2">
      <c r="D19" s="107"/>
      <c r="E19" s="29"/>
      <c r="F19" s="28"/>
      <c r="G19" s="28"/>
      <c r="H19" s="200"/>
      <c r="I19" s="29"/>
      <c r="J19" s="138"/>
    </row>
    <row r="20" spans="1:10" s="9" customFormat="1" ht="12.75" customHeight="1" x14ac:dyDescent="0.2">
      <c r="A20" s="265">
        <v>4</v>
      </c>
      <c r="B20" s="265"/>
      <c r="C20" s="61" t="s">
        <v>2</v>
      </c>
      <c r="D20" s="106">
        <f>E20/$E$32</f>
        <v>0.20300000000000001</v>
      </c>
      <c r="E20" s="192">
        <f>_4</f>
        <v>6000000</v>
      </c>
      <c r="F20" s="231"/>
      <c r="G20" s="231"/>
      <c r="H20" s="194">
        <v>0</v>
      </c>
      <c r="I20" s="192">
        <f>E20*H20</f>
        <v>0</v>
      </c>
      <c r="J20" s="29"/>
    </row>
    <row r="21" spans="1:10" ht="3.95" customHeight="1" x14ac:dyDescent="0.2">
      <c r="B21" s="3"/>
      <c r="D21" s="107"/>
      <c r="E21" s="29"/>
      <c r="F21" s="28"/>
      <c r="G21" s="28"/>
      <c r="H21" s="193"/>
      <c r="I21" s="29"/>
      <c r="J21" s="28"/>
    </row>
    <row r="22" spans="1:10" s="10" customFormat="1" ht="12.95" customHeight="1" x14ac:dyDescent="0.2">
      <c r="A22" s="265">
        <v>5</v>
      </c>
      <c r="B22" s="265"/>
      <c r="C22" s="61" t="s">
        <v>9</v>
      </c>
      <c r="D22" s="106">
        <f>E22/$E$32</f>
        <v>5.6000000000000001E-2</v>
      </c>
      <c r="E22" s="197">
        <f>_5</f>
        <v>1650000</v>
      </c>
      <c r="F22" s="231"/>
      <c r="G22" s="231"/>
      <c r="H22" s="194">
        <v>0</v>
      </c>
      <c r="I22" s="192">
        <f>E22*H22</f>
        <v>0</v>
      </c>
      <c r="J22" s="29"/>
    </row>
    <row r="23" spans="1:10" ht="3.95" customHeight="1" x14ac:dyDescent="0.2">
      <c r="D23" s="107"/>
      <c r="E23" s="29"/>
      <c r="F23" s="28"/>
      <c r="G23" s="28"/>
      <c r="H23" s="193"/>
      <c r="I23" s="29"/>
      <c r="J23" s="29"/>
    </row>
    <row r="24" spans="1:10" s="9" customFormat="1" ht="12.95" customHeight="1" x14ac:dyDescent="0.2">
      <c r="A24" s="265">
        <v>6</v>
      </c>
      <c r="B24" s="265"/>
      <c r="C24" s="61" t="s">
        <v>3</v>
      </c>
      <c r="D24" s="106">
        <f>E24/$E$32</f>
        <v>1.7000000000000001E-2</v>
      </c>
      <c r="E24" s="192">
        <f>_6</f>
        <v>500000</v>
      </c>
      <c r="F24" s="231"/>
      <c r="G24" s="231"/>
      <c r="H24" s="194">
        <v>0</v>
      </c>
      <c r="I24" s="192">
        <f>E24*H24</f>
        <v>0</v>
      </c>
      <c r="J24" s="29"/>
    </row>
    <row r="25" spans="1:10" ht="3.95" customHeight="1" x14ac:dyDescent="0.2">
      <c r="B25" s="12"/>
      <c r="D25" s="110"/>
      <c r="E25" s="29"/>
      <c r="F25" s="28"/>
      <c r="G25" s="28"/>
      <c r="H25" s="193"/>
      <c r="I25" s="29"/>
      <c r="J25" s="29"/>
    </row>
    <row r="26" spans="1:10" s="10" customFormat="1" ht="12.95" customHeight="1" x14ac:dyDescent="0.2">
      <c r="A26" s="265">
        <v>7</v>
      </c>
      <c r="B26" s="265"/>
      <c r="C26" s="61" t="s">
        <v>66</v>
      </c>
      <c r="D26" s="106">
        <f>E26/$E$32</f>
        <v>0.16900000000000001</v>
      </c>
      <c r="E26" s="192">
        <f>_7</f>
        <v>5000000</v>
      </c>
      <c r="F26" s="231"/>
      <c r="G26" s="231"/>
      <c r="H26" s="194">
        <v>0</v>
      </c>
      <c r="I26" s="192">
        <f>E26*H26</f>
        <v>0</v>
      </c>
      <c r="J26" s="29"/>
    </row>
    <row r="27" spans="1:10" ht="3.95" customHeight="1" x14ac:dyDescent="0.2">
      <c r="D27" s="110"/>
      <c r="E27" s="29"/>
      <c r="F27" s="28"/>
      <c r="G27" s="28"/>
      <c r="H27" s="193"/>
      <c r="I27" s="29"/>
      <c r="J27" s="29"/>
    </row>
    <row r="28" spans="1:10" s="10" customFormat="1" ht="12.95" customHeight="1" x14ac:dyDescent="0.2">
      <c r="A28" s="265">
        <v>8</v>
      </c>
      <c r="B28" s="265"/>
      <c r="C28" s="61" t="s">
        <v>84</v>
      </c>
      <c r="D28" s="106">
        <f>E28/$E$32</f>
        <v>1E-3</v>
      </c>
      <c r="E28" s="192">
        <f>_8</f>
        <v>40000</v>
      </c>
      <c r="F28" s="231"/>
      <c r="G28" s="231"/>
      <c r="H28" s="194">
        <v>0</v>
      </c>
      <c r="I28" s="192">
        <f>E28*H28</f>
        <v>0</v>
      </c>
      <c r="J28" s="29"/>
    </row>
    <row r="29" spans="1:10" ht="3.95" customHeight="1" x14ac:dyDescent="0.2">
      <c r="D29" s="110"/>
      <c r="E29" s="29"/>
      <c r="F29" s="28"/>
      <c r="G29" s="28"/>
      <c r="H29" s="200"/>
      <c r="I29" s="29"/>
      <c r="J29" s="138"/>
    </row>
    <row r="30" spans="1:10" s="10" customFormat="1" ht="12.95" customHeight="1" x14ac:dyDescent="0.2">
      <c r="A30" s="265">
        <v>9</v>
      </c>
      <c r="B30" s="265"/>
      <c r="C30" s="61" t="s">
        <v>10</v>
      </c>
      <c r="D30" s="106">
        <f>E30/$E$32</f>
        <v>5.3999999999999999E-2</v>
      </c>
      <c r="E30" s="192">
        <f>_9</f>
        <v>1600000</v>
      </c>
      <c r="F30" s="231"/>
      <c r="G30" s="231"/>
      <c r="H30" s="194">
        <v>0.01</v>
      </c>
      <c r="I30" s="192">
        <f>E30*H30</f>
        <v>16000</v>
      </c>
      <c r="J30" s="29"/>
    </row>
    <row r="31" spans="1:10" ht="9.9499999999999993" customHeight="1" x14ac:dyDescent="0.2">
      <c r="B31" s="12"/>
      <c r="D31" s="27"/>
      <c r="E31" s="29"/>
      <c r="F31" s="28"/>
      <c r="G31" s="28"/>
      <c r="H31" s="201"/>
      <c r="I31" s="29"/>
      <c r="J31" s="1"/>
    </row>
    <row r="32" spans="1:10" ht="12.95" customHeight="1" x14ac:dyDescent="0.2">
      <c r="A32" s="165" t="s">
        <v>12</v>
      </c>
      <c r="B32" s="166"/>
      <c r="C32" s="166"/>
      <c r="D32" s="57">
        <f>SUM(D6:D30)</f>
        <v>1</v>
      </c>
      <c r="E32" s="202">
        <f>_EK</f>
        <v>29500000</v>
      </c>
      <c r="F32" s="201"/>
      <c r="G32" s="201"/>
      <c r="H32" s="201"/>
      <c r="I32" s="201"/>
      <c r="J32" s="18"/>
    </row>
    <row r="33" spans="1:11" ht="3.95" customHeight="1" x14ac:dyDescent="0.25">
      <c r="B33" s="170"/>
      <c r="D33" s="27"/>
      <c r="E33" s="18"/>
      <c r="H33" s="203"/>
      <c r="J33" s="1"/>
    </row>
    <row r="34" spans="1:11" s="9" customFormat="1" ht="12.95" customHeight="1" x14ac:dyDescent="0.2">
      <c r="A34" s="190"/>
      <c r="B34" s="60" t="s">
        <v>85</v>
      </c>
      <c r="C34" s="61"/>
      <c r="D34" s="106"/>
      <c r="E34" s="192">
        <f>_mvB</f>
        <v>120000</v>
      </c>
      <c r="F34" s="231"/>
      <c r="G34" s="231"/>
      <c r="H34" s="194">
        <v>0</v>
      </c>
      <c r="I34" s="192">
        <f>E34*H34</f>
        <v>0</v>
      </c>
    </row>
    <row r="35" spans="1:11" ht="6" customHeight="1" x14ac:dyDescent="0.2">
      <c r="D35" s="27"/>
    </row>
    <row r="36" spans="1:11" s="13" customFormat="1" ht="12.95" customHeight="1" x14ac:dyDescent="0.3">
      <c r="A36" s="167" t="s">
        <v>32</v>
      </c>
      <c r="B36" s="168"/>
      <c r="C36" s="168"/>
      <c r="D36" s="111"/>
      <c r="E36" s="111"/>
      <c r="F36" s="111"/>
      <c r="G36" s="111"/>
      <c r="H36" s="112"/>
      <c r="I36" s="205">
        <f>ROUND(SUM(I6:I34),2)</f>
        <v>316000</v>
      </c>
      <c r="J36" s="37"/>
      <c r="K36" s="255"/>
    </row>
    <row r="37" spans="1:11" ht="6" customHeight="1" x14ac:dyDescent="0.2">
      <c r="A37" s="86"/>
      <c r="B37" s="86"/>
      <c r="C37" s="86"/>
      <c r="D37" s="86"/>
      <c r="E37" s="86"/>
      <c r="F37" s="86"/>
      <c r="G37" s="86"/>
      <c r="I37" s="102"/>
    </row>
    <row r="38" spans="1:11" ht="12.75" customHeight="1" x14ac:dyDescent="0.2">
      <c r="A38" s="84" t="s">
        <v>83</v>
      </c>
      <c r="B38" s="84"/>
      <c r="C38" s="85"/>
      <c r="D38" s="85"/>
      <c r="E38" s="85"/>
      <c r="F38" s="85"/>
      <c r="G38" s="85"/>
      <c r="H38" s="84"/>
      <c r="I38" s="171"/>
      <c r="J38" s="87"/>
    </row>
    <row r="39" spans="1:11" ht="2.1" customHeight="1" x14ac:dyDescent="0.2">
      <c r="A39" s="86"/>
      <c r="B39" s="86"/>
      <c r="C39" s="86"/>
      <c r="D39" s="86"/>
      <c r="E39" s="86"/>
      <c r="F39" s="86"/>
      <c r="G39" s="86"/>
      <c r="I39" s="102"/>
    </row>
    <row r="40" spans="1:11" ht="12.75" customHeight="1" x14ac:dyDescent="0.2">
      <c r="A40" s="87" t="s">
        <v>56</v>
      </c>
      <c r="B40" s="86"/>
      <c r="C40" s="86"/>
      <c r="D40" s="86"/>
      <c r="E40" s="86"/>
      <c r="F40" s="86"/>
      <c r="G40" s="86"/>
      <c r="I40" s="102"/>
    </row>
    <row r="41" spans="1:11" ht="12.75" customHeight="1" x14ac:dyDescent="0.2">
      <c r="A41" s="14"/>
      <c r="B41" s="14"/>
      <c r="E41" s="88" t="s">
        <v>5</v>
      </c>
      <c r="F41" s="89" t="s">
        <v>4</v>
      </c>
      <c r="G41" s="89"/>
      <c r="H41" s="266" t="s">
        <v>92</v>
      </c>
      <c r="I41" s="266"/>
      <c r="J41" s="34"/>
    </row>
    <row r="42" spans="1:11" ht="12.75" customHeight="1" x14ac:dyDescent="0.2">
      <c r="B42" s="15" t="s">
        <v>40</v>
      </c>
      <c r="C42" s="30"/>
      <c r="D42" s="30"/>
      <c r="E42" s="80">
        <v>22</v>
      </c>
      <c r="F42" s="90" t="s">
        <v>50</v>
      </c>
      <c r="G42" s="89"/>
      <c r="H42" s="206"/>
      <c r="I42" s="207"/>
      <c r="J42" s="34"/>
    </row>
    <row r="43" spans="1:11" ht="12.75" customHeight="1" x14ac:dyDescent="0.2">
      <c r="B43" s="16" t="s">
        <v>41</v>
      </c>
      <c r="C43" s="31"/>
      <c r="D43" s="31"/>
      <c r="E43" s="81">
        <v>2</v>
      </c>
      <c r="F43" s="91" t="s">
        <v>6</v>
      </c>
      <c r="G43" s="89"/>
      <c r="H43" s="208"/>
      <c r="I43" s="209"/>
      <c r="J43" s="34"/>
    </row>
    <row r="44" spans="1:11" ht="12.75" customHeight="1" x14ac:dyDescent="0.2">
      <c r="B44" s="16" t="s">
        <v>42</v>
      </c>
      <c r="C44" s="31"/>
      <c r="D44" s="31"/>
      <c r="E44" s="81">
        <v>1</v>
      </c>
      <c r="F44" s="91" t="s">
        <v>6</v>
      </c>
      <c r="G44" s="89"/>
      <c r="H44" s="208"/>
      <c r="I44" s="209"/>
      <c r="J44" s="34"/>
    </row>
    <row r="45" spans="1:11" ht="12.75" customHeight="1" x14ac:dyDescent="0.2">
      <c r="B45" s="16" t="s">
        <v>43</v>
      </c>
      <c r="C45" s="31"/>
      <c r="D45" s="31"/>
      <c r="E45" s="81">
        <v>2</v>
      </c>
      <c r="F45" s="91" t="s">
        <v>6</v>
      </c>
      <c r="G45" s="89"/>
      <c r="H45" s="208"/>
      <c r="I45" s="209"/>
      <c r="J45" s="34"/>
    </row>
    <row r="46" spans="1:11" ht="4.5" customHeight="1" x14ac:dyDescent="0.2">
      <c r="A46" s="14"/>
      <c r="B46" s="14"/>
      <c r="E46" s="92"/>
      <c r="F46" s="92"/>
      <c r="G46" s="92"/>
      <c r="H46" s="208"/>
      <c r="I46" s="209"/>
      <c r="J46" s="34"/>
    </row>
    <row r="47" spans="1:11" ht="12.75" customHeight="1" x14ac:dyDescent="0.2">
      <c r="B47" s="256"/>
      <c r="C47" s="31" t="s">
        <v>86</v>
      </c>
      <c r="D47" s="31"/>
      <c r="E47" s="81">
        <v>0</v>
      </c>
      <c r="F47" s="91" t="s">
        <v>99</v>
      </c>
      <c r="G47" s="89"/>
      <c r="H47" s="210"/>
      <c r="I47" s="211"/>
      <c r="J47" s="34"/>
    </row>
    <row r="48" spans="1:11" ht="12.75" customHeight="1" x14ac:dyDescent="0.2">
      <c r="B48" s="256"/>
      <c r="C48" s="31" t="s">
        <v>87</v>
      </c>
      <c r="D48" s="31"/>
      <c r="E48" s="81">
        <v>0</v>
      </c>
      <c r="F48" s="91" t="s">
        <v>99</v>
      </c>
      <c r="G48" s="89"/>
      <c r="H48" s="208"/>
      <c r="I48" s="212"/>
      <c r="J48" s="34"/>
    </row>
    <row r="49" spans="1:10" ht="12.75" customHeight="1" x14ac:dyDescent="0.2">
      <c r="B49" s="256"/>
      <c r="C49" s="31" t="s">
        <v>88</v>
      </c>
      <c r="D49" s="31"/>
      <c r="E49" s="81">
        <v>0</v>
      </c>
      <c r="F49" s="91" t="s">
        <v>99</v>
      </c>
      <c r="G49" s="89"/>
      <c r="H49" s="208"/>
      <c r="I49" s="212"/>
      <c r="J49" s="34"/>
    </row>
    <row r="50" spans="1:10" ht="3.95" customHeight="1" x14ac:dyDescent="0.2">
      <c r="B50" s="14"/>
      <c r="C50" s="213"/>
      <c r="D50" s="213"/>
      <c r="E50" s="257"/>
      <c r="F50" s="214"/>
      <c r="G50" s="215"/>
      <c r="I50" s="172"/>
      <c r="J50" s="34"/>
    </row>
    <row r="51" spans="1:10" ht="12.75" customHeight="1" x14ac:dyDescent="0.2">
      <c r="B51" s="14" t="s">
        <v>39</v>
      </c>
      <c r="C51" s="93"/>
      <c r="D51" s="94"/>
      <c r="E51" s="105">
        <f>SUM(E42:E49)</f>
        <v>27</v>
      </c>
      <c r="F51" s="94"/>
      <c r="G51" s="94"/>
      <c r="I51" s="172"/>
      <c r="J51" s="1"/>
    </row>
    <row r="52" spans="1:10" ht="3.95" customHeight="1" x14ac:dyDescent="0.2">
      <c r="B52" s="14"/>
      <c r="C52" s="94"/>
      <c r="D52" s="94"/>
      <c r="E52" s="94"/>
      <c r="F52" s="94"/>
      <c r="G52" s="94"/>
      <c r="I52" s="172"/>
      <c r="J52" s="1"/>
    </row>
    <row r="53" spans="1:10" ht="12.95" customHeight="1" x14ac:dyDescent="0.2">
      <c r="A53" s="87" t="s">
        <v>15</v>
      </c>
      <c r="B53" s="87"/>
      <c r="C53" s="86"/>
      <c r="D53" s="86"/>
      <c r="E53" s="86"/>
      <c r="F53" s="86"/>
      <c r="G53" s="86"/>
      <c r="H53" s="173"/>
      <c r="I53" s="1"/>
    </row>
    <row r="54" spans="1:10" ht="4.5" customHeight="1" x14ac:dyDescent="0.2">
      <c r="A54" s="87"/>
      <c r="B54" s="87"/>
      <c r="C54" s="87"/>
      <c r="I54" s="1"/>
    </row>
    <row r="55" spans="1:10" ht="12.75" customHeight="1" x14ac:dyDescent="0.2">
      <c r="A55" s="95" t="s">
        <v>11</v>
      </c>
      <c r="B55" s="95"/>
      <c r="E55" s="113">
        <f>I36</f>
        <v>316000</v>
      </c>
      <c r="I55" s="1"/>
    </row>
    <row r="56" spans="1:10" ht="3.95" customHeight="1" x14ac:dyDescent="0.25">
      <c r="A56" s="14"/>
      <c r="B56" s="14"/>
      <c r="C56" s="14"/>
      <c r="D56" s="14"/>
      <c r="E56" s="93"/>
      <c r="I56"/>
    </row>
    <row r="57" spans="1:10" ht="12.75" customHeight="1" x14ac:dyDescent="0.2">
      <c r="A57" s="14" t="s">
        <v>52</v>
      </c>
      <c r="B57" s="14"/>
      <c r="E57" s="174">
        <f>0.03*E51+0.73</f>
        <v>1.54</v>
      </c>
      <c r="F57" s="271" t="str">
        <f>IF(I36&lt;50000,"! gemäß TA.9 (3): Ist die Bemessungsgrundlage niedriger als 50.000 €, sollte der Ermittlungsweg über Abschätzung des Büro- / Personalaufwandes gewählt werden","")</f>
        <v/>
      </c>
      <c r="G57" s="271"/>
      <c r="H57" s="271"/>
      <c r="I57" s="271"/>
    </row>
    <row r="58" spans="1:10" ht="3.95" customHeight="1" x14ac:dyDescent="0.2">
      <c r="A58" s="14"/>
      <c r="B58" s="14"/>
      <c r="E58" s="24"/>
      <c r="F58" s="271"/>
      <c r="G58" s="271"/>
      <c r="H58" s="271"/>
      <c r="I58" s="271"/>
    </row>
    <row r="59" spans="1:10" ht="12.75" customHeight="1" x14ac:dyDescent="0.2">
      <c r="A59" s="14" t="s">
        <v>54</v>
      </c>
      <c r="B59" s="14"/>
      <c r="E59" s="185">
        <f>ROUND(IF(E55&lt;2000000,202*E55^(-0.2248)*E57/100,(37.8*E55^(-0.109)*E57/100)),6)</f>
        <v>0.18052699999999999</v>
      </c>
      <c r="F59" s="271"/>
      <c r="G59" s="271"/>
      <c r="H59" s="271"/>
      <c r="I59" s="271"/>
    </row>
    <row r="60" spans="1:10" ht="15.95" customHeight="1" x14ac:dyDescent="0.3">
      <c r="A60" s="19" t="s">
        <v>57</v>
      </c>
      <c r="B60" s="19"/>
      <c r="E60" s="216">
        <f>202*E55^(-0.2248)*E57/100</f>
        <v>0.18052699999999999</v>
      </c>
      <c r="F60" s="175" t="str">
        <f>IF(E55&lt;2000000,"(PL + ÖBA)","")</f>
        <v>(PL + ÖBA)</v>
      </c>
      <c r="G60" s="175"/>
      <c r="I60"/>
    </row>
    <row r="61" spans="1:10" ht="15.95" customHeight="1" x14ac:dyDescent="0.3">
      <c r="A61" s="19" t="s">
        <v>58</v>
      </c>
      <c r="B61" s="19"/>
      <c r="C61" s="19"/>
      <c r="E61" s="216">
        <f>37.8*E55^(-0.109)*E57/100</f>
        <v>0.146402</v>
      </c>
      <c r="F61" s="217" t="str">
        <f>IF(E55&gt;1999999.99,"(PL + ÖBA)","")</f>
        <v/>
      </c>
      <c r="G61" s="217"/>
      <c r="I61"/>
    </row>
    <row r="62" spans="1:10" ht="13.5" customHeight="1" x14ac:dyDescent="0.25">
      <c r="A62" s="19" t="s">
        <v>68</v>
      </c>
      <c r="B62" s="19"/>
      <c r="C62" s="19"/>
      <c r="E62" s="115">
        <v>0</v>
      </c>
      <c r="F62" s="217"/>
      <c r="H62" s="1"/>
      <c r="I62"/>
    </row>
    <row r="63" spans="1:10" ht="2.1" customHeight="1" x14ac:dyDescent="0.25">
      <c r="A63" s="14"/>
      <c r="B63" s="14"/>
      <c r="E63" s="96"/>
      <c r="F63" s="96"/>
      <c r="G63" s="96"/>
      <c r="H63" s="1"/>
      <c r="I63"/>
    </row>
    <row r="64" spans="1:10" ht="15" customHeight="1" x14ac:dyDescent="0.3">
      <c r="A64" s="17" t="s">
        <v>79</v>
      </c>
      <c r="B64" s="15"/>
      <c r="C64" s="97"/>
      <c r="D64" s="97"/>
      <c r="E64" s="98"/>
      <c r="F64" s="218">
        <f>ROUND(E55*E59*(1+E62),2)</f>
        <v>57047</v>
      </c>
      <c r="G64" s="217"/>
      <c r="I64" s="1"/>
    </row>
    <row r="65" spans="1:11" ht="12.95" customHeight="1" x14ac:dyDescent="0.2">
      <c r="A65" s="19"/>
      <c r="B65" s="14"/>
      <c r="C65" s="86"/>
      <c r="D65" s="219" t="s">
        <v>80</v>
      </c>
      <c r="E65" s="220" t="s">
        <v>5</v>
      </c>
      <c r="F65" s="99"/>
      <c r="G65" s="221"/>
      <c r="H65" s="88"/>
      <c r="I65" s="25"/>
    </row>
    <row r="66" spans="1:11" ht="12.75" customHeight="1" x14ac:dyDescent="0.2">
      <c r="A66" s="86" t="s">
        <v>47</v>
      </c>
      <c r="B66" s="86"/>
      <c r="D66" s="186">
        <v>0.02</v>
      </c>
      <c r="E66" s="114">
        <v>0.02</v>
      </c>
      <c r="F66" s="102">
        <f t="shared" ref="F66:F75" si="1">$F$64*E66</f>
        <v>1141</v>
      </c>
      <c r="G66" s="222"/>
      <c r="H66" s="258"/>
      <c r="I66" s="102"/>
    </row>
    <row r="67" spans="1:11" ht="12.75" customHeight="1" x14ac:dyDescent="0.2">
      <c r="A67" s="86" t="s">
        <v>33</v>
      </c>
      <c r="B67" s="86"/>
      <c r="D67" s="186">
        <v>0.09</v>
      </c>
      <c r="E67" s="115">
        <v>0.09</v>
      </c>
      <c r="F67" s="102">
        <f t="shared" si="1"/>
        <v>5134</v>
      </c>
      <c r="G67" s="223"/>
      <c r="H67" s="259"/>
      <c r="I67" s="102"/>
    </row>
    <row r="68" spans="1:11" ht="12.75" customHeight="1" x14ac:dyDescent="0.2">
      <c r="A68" s="86" t="s">
        <v>34</v>
      </c>
      <c r="B68" s="86"/>
      <c r="D68" s="186">
        <v>0.16</v>
      </c>
      <c r="E68" s="115">
        <v>0.16</v>
      </c>
      <c r="F68" s="102">
        <f t="shared" si="1"/>
        <v>9128</v>
      </c>
      <c r="G68" s="223"/>
      <c r="H68" s="259"/>
      <c r="I68" s="102"/>
    </row>
    <row r="69" spans="1:11" ht="12.75" customHeight="1" x14ac:dyDescent="0.2">
      <c r="A69" s="86" t="s">
        <v>35</v>
      </c>
      <c r="B69" s="86"/>
      <c r="D69" s="186">
        <v>0.05</v>
      </c>
      <c r="E69" s="115">
        <v>0.05</v>
      </c>
      <c r="F69" s="102">
        <f t="shared" si="1"/>
        <v>2852</v>
      </c>
      <c r="G69" s="223"/>
      <c r="H69" s="259"/>
      <c r="I69" s="102"/>
      <c r="K69" s="1" t="s">
        <v>59</v>
      </c>
    </row>
    <row r="70" spans="1:11" ht="12.75" customHeight="1" x14ac:dyDescent="0.2">
      <c r="A70" s="86" t="s">
        <v>36</v>
      </c>
      <c r="B70" s="86"/>
      <c r="D70" s="186">
        <v>0.2</v>
      </c>
      <c r="E70" s="115">
        <v>0.2</v>
      </c>
      <c r="F70" s="102">
        <f t="shared" si="1"/>
        <v>11409</v>
      </c>
      <c r="G70" s="223"/>
      <c r="H70" s="259"/>
      <c r="I70" s="102"/>
    </row>
    <row r="71" spans="1:11" ht="12.75" customHeight="1" x14ac:dyDescent="0.2">
      <c r="A71" s="86" t="s">
        <v>37</v>
      </c>
      <c r="B71" s="86"/>
      <c r="D71" s="186">
        <v>0.05</v>
      </c>
      <c r="E71" s="115">
        <v>0.05</v>
      </c>
      <c r="F71" s="102">
        <f t="shared" si="1"/>
        <v>2852</v>
      </c>
      <c r="G71" s="222"/>
      <c r="H71" s="258"/>
      <c r="I71" s="102"/>
    </row>
    <row r="72" spans="1:11" ht="12.75" customHeight="1" x14ac:dyDescent="0.2">
      <c r="A72" s="86" t="s">
        <v>51</v>
      </c>
      <c r="B72" s="86"/>
      <c r="D72" s="186">
        <v>0.02</v>
      </c>
      <c r="E72" s="115">
        <v>0.02</v>
      </c>
      <c r="F72" s="102">
        <f t="shared" si="1"/>
        <v>1141</v>
      </c>
      <c r="G72" s="223"/>
      <c r="H72" s="259"/>
      <c r="I72" s="102"/>
    </row>
    <row r="73" spans="1:11" ht="12.75" customHeight="1" x14ac:dyDescent="0.2">
      <c r="A73" s="86" t="s">
        <v>48</v>
      </c>
      <c r="B73" s="86"/>
      <c r="D73" s="186">
        <v>0.04</v>
      </c>
      <c r="E73" s="115">
        <v>0.04</v>
      </c>
      <c r="F73" s="102">
        <f t="shared" si="1"/>
        <v>2282</v>
      </c>
      <c r="G73" s="223"/>
      <c r="H73" s="259"/>
      <c r="I73" s="102"/>
    </row>
    <row r="74" spans="1:11" ht="12.75" customHeight="1" x14ac:dyDescent="0.2">
      <c r="A74" s="86" t="s">
        <v>53</v>
      </c>
      <c r="B74" s="86"/>
      <c r="D74" s="186">
        <v>0.35</v>
      </c>
      <c r="E74" s="115">
        <v>0.35</v>
      </c>
      <c r="F74" s="102">
        <f t="shared" si="1"/>
        <v>19966</v>
      </c>
      <c r="G74" s="223"/>
      <c r="H74" s="259"/>
      <c r="I74" s="102"/>
    </row>
    <row r="75" spans="1:11" ht="12.75" customHeight="1" x14ac:dyDescent="0.2">
      <c r="A75" s="97" t="s">
        <v>49</v>
      </c>
      <c r="B75" s="97"/>
      <c r="C75" s="30"/>
      <c r="D75" s="187">
        <v>0.02</v>
      </c>
      <c r="E75" s="116">
        <v>0.02</v>
      </c>
      <c r="F75" s="103">
        <f t="shared" si="1"/>
        <v>1141</v>
      </c>
      <c r="G75" s="224"/>
      <c r="H75" s="260"/>
      <c r="I75" s="103"/>
    </row>
    <row r="76" spans="1:11" s="244" customFormat="1" ht="18.600000000000001" customHeight="1" x14ac:dyDescent="0.25">
      <c r="A76" s="242" t="s">
        <v>38</v>
      </c>
      <c r="B76" s="243"/>
      <c r="D76" s="263">
        <f>SUM(D66:D75)</f>
        <v>1</v>
      </c>
      <c r="E76" s="245">
        <f>SUM(E66:E75)</f>
        <v>1</v>
      </c>
      <c r="F76" s="246">
        <f>SUM(F66:F75)</f>
        <v>57046</v>
      </c>
      <c r="G76" s="247"/>
      <c r="H76" s="245"/>
      <c r="I76" s="246"/>
      <c r="J76" s="248"/>
    </row>
    <row r="77" spans="1:11" ht="12.75" customHeight="1" x14ac:dyDescent="0.2">
      <c r="A77" s="249" t="s">
        <v>93</v>
      </c>
      <c r="B77" s="100"/>
      <c r="D77" s="225">
        <v>0.02</v>
      </c>
      <c r="E77" s="114">
        <v>0.02</v>
      </c>
      <c r="F77" s="102">
        <f t="shared" ref="F77:F84" si="2">$F$64*E77</f>
        <v>1141</v>
      </c>
      <c r="G77" s="101"/>
      <c r="H77" s="102"/>
      <c r="I77" s="70"/>
    </row>
    <row r="78" spans="1:11" ht="12.75" customHeight="1" x14ac:dyDescent="0.2">
      <c r="A78" s="249" t="s">
        <v>94</v>
      </c>
      <c r="B78" s="100"/>
      <c r="D78" s="225">
        <v>1.4999999999999999E-2</v>
      </c>
      <c r="E78" s="115">
        <v>0</v>
      </c>
      <c r="F78" s="102">
        <f t="shared" si="2"/>
        <v>0</v>
      </c>
      <c r="G78" s="101"/>
      <c r="H78" s="102"/>
      <c r="I78" s="70"/>
    </row>
    <row r="79" spans="1:11" ht="12.75" customHeight="1" x14ac:dyDescent="0.2">
      <c r="A79" s="249" t="s">
        <v>95</v>
      </c>
      <c r="B79" s="100"/>
      <c r="D79" s="225">
        <v>2.5000000000000001E-2</v>
      </c>
      <c r="E79" s="115">
        <v>0</v>
      </c>
      <c r="F79" s="102">
        <f t="shared" si="2"/>
        <v>0</v>
      </c>
      <c r="G79" s="101"/>
      <c r="H79" s="102"/>
      <c r="I79" s="70"/>
    </row>
    <row r="80" spans="1:11" ht="12.75" customHeight="1" x14ac:dyDescent="0.2">
      <c r="A80" s="249" t="s">
        <v>96</v>
      </c>
      <c r="B80" s="100"/>
      <c r="D80" s="225">
        <v>0.03</v>
      </c>
      <c r="E80" s="226">
        <v>0</v>
      </c>
      <c r="F80" s="102">
        <f t="shared" si="2"/>
        <v>0</v>
      </c>
      <c r="G80" s="101"/>
      <c r="H80" s="102"/>
      <c r="I80" s="70"/>
    </row>
    <row r="81" spans="1:13" ht="12.75" customHeight="1" x14ac:dyDescent="0.2">
      <c r="A81" s="249" t="s">
        <v>97</v>
      </c>
      <c r="B81" s="100"/>
      <c r="D81" s="225">
        <v>0.02</v>
      </c>
      <c r="E81" s="227">
        <v>0</v>
      </c>
      <c r="F81" s="102">
        <f t="shared" si="2"/>
        <v>0</v>
      </c>
      <c r="G81" s="101"/>
      <c r="H81" s="102"/>
      <c r="I81" s="70"/>
    </row>
    <row r="82" spans="1:13" ht="12.75" customHeight="1" x14ac:dyDescent="0.2">
      <c r="A82" s="249" t="s">
        <v>98</v>
      </c>
      <c r="B82" s="100"/>
      <c r="D82" s="222">
        <v>0.01</v>
      </c>
      <c r="E82" s="227">
        <v>0</v>
      </c>
      <c r="F82" s="102">
        <f t="shared" si="2"/>
        <v>0</v>
      </c>
      <c r="G82" s="101"/>
      <c r="H82" s="102"/>
      <c r="I82" s="70"/>
    </row>
    <row r="83" spans="1:13" ht="13.5" customHeight="1" x14ac:dyDescent="0.2">
      <c r="A83" s="274" t="s">
        <v>107</v>
      </c>
      <c r="B83" s="100"/>
      <c r="D83" s="222">
        <v>0.01</v>
      </c>
      <c r="E83" s="227">
        <v>0</v>
      </c>
      <c r="F83" s="102">
        <f t="shared" si="2"/>
        <v>0</v>
      </c>
      <c r="G83" s="101"/>
      <c r="H83" s="102"/>
      <c r="I83" s="70"/>
    </row>
    <row r="84" spans="1:13" ht="12.75" customHeight="1" x14ac:dyDescent="0.2">
      <c r="A84" s="275" t="s">
        <v>108</v>
      </c>
      <c r="B84" s="250"/>
      <c r="C84" s="30"/>
      <c r="D84" s="251">
        <v>0.04</v>
      </c>
      <c r="E84" s="116">
        <v>0</v>
      </c>
      <c r="F84" s="103">
        <f t="shared" si="2"/>
        <v>0</v>
      </c>
      <c r="G84" s="261"/>
      <c r="H84" s="103"/>
      <c r="I84" s="252"/>
      <c r="J84" s="1"/>
    </row>
    <row r="85" spans="1:13" ht="12.75" customHeight="1" x14ac:dyDescent="0.2">
      <c r="A85" s="270" t="s">
        <v>104</v>
      </c>
      <c r="B85" s="270"/>
      <c r="C85" s="270"/>
      <c r="D85" s="262">
        <f>SUM(D76:D84)</f>
        <v>1.17</v>
      </c>
      <c r="E85" s="101">
        <f>SUM(E76:E84)</f>
        <v>1.02</v>
      </c>
      <c r="F85" s="247">
        <f>F76+SUM(F77:F84)</f>
        <v>58187</v>
      </c>
      <c r="H85" s="101"/>
      <c r="I85" s="254">
        <f>F85</f>
        <v>58187</v>
      </c>
      <c r="J85" s="1"/>
      <c r="K85" s="8"/>
    </row>
    <row r="86" spans="1:13" ht="12.75" customHeight="1" x14ac:dyDescent="0.2">
      <c r="A86" s="176"/>
      <c r="B86" s="14"/>
      <c r="D86" s="101"/>
      <c r="E86" s="101"/>
      <c r="F86" s="104"/>
      <c r="G86" s="7"/>
      <c r="I86" s="253"/>
      <c r="J86" s="1"/>
    </row>
    <row r="87" spans="1:13" ht="12.75" customHeight="1" x14ac:dyDescent="0.25">
      <c r="A87" s="28" t="s">
        <v>67</v>
      </c>
      <c r="E87" s="232">
        <v>0</v>
      </c>
      <c r="F87" s="169">
        <v>0</v>
      </c>
      <c r="G87" s="7"/>
      <c r="I87" s="70">
        <f>E87*F87</f>
        <v>0</v>
      </c>
      <c r="K87"/>
      <c r="L87"/>
      <c r="M87"/>
    </row>
    <row r="88" spans="1:13" ht="3" customHeight="1" x14ac:dyDescent="0.25">
      <c r="E88" s="177"/>
      <c r="I88"/>
    </row>
    <row r="89" spans="1:13" s="19" customFormat="1" ht="12.75" x14ac:dyDescent="0.2">
      <c r="A89" s="73" t="s">
        <v>69</v>
      </c>
      <c r="B89" s="74"/>
      <c r="C89" s="75"/>
      <c r="D89" s="77"/>
      <c r="E89" s="178"/>
      <c r="F89" s="76"/>
      <c r="G89" s="76"/>
      <c r="H89" s="76"/>
      <c r="I89" s="78">
        <f>I85+I87</f>
        <v>58187</v>
      </c>
    </row>
    <row r="90" spans="1:13" s="19" customFormat="1" ht="3" customHeight="1" x14ac:dyDescent="0.2">
      <c r="B90" s="20"/>
      <c r="C90" s="21"/>
      <c r="D90" s="39"/>
      <c r="E90" s="40"/>
      <c r="F90" s="40"/>
      <c r="G90" s="40"/>
      <c r="I90" s="70"/>
    </row>
    <row r="91" spans="1:13" s="19" customFormat="1" ht="12.75" x14ac:dyDescent="0.2">
      <c r="A91" s="41" t="s">
        <v>13</v>
      </c>
      <c r="B91" s="20"/>
      <c r="C91" s="21"/>
      <c r="D91" s="39"/>
      <c r="E91" s="117">
        <v>0.04</v>
      </c>
      <c r="F91" s="40"/>
      <c r="G91" s="40"/>
      <c r="I91" s="70">
        <f>ROUND(I89*E91,2)</f>
        <v>2327</v>
      </c>
    </row>
    <row r="92" spans="1:13" s="19" customFormat="1" ht="3" customHeight="1" x14ac:dyDescent="0.2">
      <c r="A92" s="42"/>
      <c r="B92" s="43"/>
      <c r="C92" s="44"/>
      <c r="D92" s="48"/>
      <c r="E92" s="118"/>
      <c r="F92" s="52"/>
      <c r="G92" s="52"/>
      <c r="H92" s="42"/>
      <c r="I92" s="72"/>
    </row>
    <row r="93" spans="1:13" s="19" customFormat="1" ht="3" customHeight="1" x14ac:dyDescent="0.2">
      <c r="B93" s="20"/>
      <c r="C93" s="21"/>
      <c r="D93" s="49"/>
      <c r="E93" s="119"/>
      <c r="F93" s="53"/>
      <c r="G93" s="53"/>
      <c r="H93" s="50"/>
      <c r="I93" s="70"/>
    </row>
    <row r="94" spans="1:13" s="19" customFormat="1" ht="12.75" x14ac:dyDescent="0.2">
      <c r="A94" s="45" t="s">
        <v>70</v>
      </c>
      <c r="B94" s="46"/>
      <c r="C94" s="47"/>
      <c r="D94" s="22"/>
      <c r="E94" s="120"/>
      <c r="F94" s="40"/>
      <c r="G94" s="40"/>
      <c r="I94" s="71">
        <f>I89+I91</f>
        <v>60514</v>
      </c>
    </row>
    <row r="95" spans="1:13" s="19" customFormat="1" ht="12.75" x14ac:dyDescent="0.2">
      <c r="A95" s="19" t="s">
        <v>14</v>
      </c>
      <c r="B95" s="20"/>
      <c r="C95" s="21"/>
      <c r="D95" s="22"/>
      <c r="E95" s="23">
        <v>0.2</v>
      </c>
      <c r="F95" s="23"/>
      <c r="G95" s="23"/>
      <c r="I95" s="70">
        <f>ROUND(I94*E95,2)</f>
        <v>12103</v>
      </c>
    </row>
    <row r="96" spans="1:13" s="19" customFormat="1" ht="3" customHeight="1" x14ac:dyDescent="0.2">
      <c r="B96" s="20"/>
      <c r="C96" s="21"/>
      <c r="D96" s="22"/>
      <c r="E96" s="40"/>
      <c r="F96" s="40"/>
      <c r="G96" s="40"/>
      <c r="I96" s="70"/>
    </row>
    <row r="97" spans="1:13" s="19" customFormat="1" ht="12.75" x14ac:dyDescent="0.2">
      <c r="A97" s="121" t="s">
        <v>71</v>
      </c>
      <c r="B97" s="122"/>
      <c r="C97" s="123"/>
      <c r="D97" s="125"/>
      <c r="E97" s="126"/>
      <c r="F97" s="126"/>
      <c r="G97" s="126"/>
      <c r="H97" s="124"/>
      <c r="I97" s="127">
        <f>SUM(I93:I95)</f>
        <v>72617</v>
      </c>
    </row>
    <row r="98" spans="1:13" s="8" customFormat="1" ht="3" customHeight="1" x14ac:dyDescent="0.2">
      <c r="A98" s="1"/>
      <c r="B98" s="6"/>
      <c r="C98" s="1"/>
      <c r="D98" s="1"/>
      <c r="E98" s="1"/>
      <c r="F98" s="1"/>
      <c r="G98" s="1"/>
      <c r="H98" s="7"/>
      <c r="K98" s="1"/>
      <c r="L98" s="1"/>
      <c r="M98" s="1"/>
    </row>
    <row r="99" spans="1:13" ht="12.75" x14ac:dyDescent="0.2">
      <c r="A99" s="128" t="s">
        <v>61</v>
      </c>
      <c r="E99" s="179">
        <f>I94/E32</f>
        <v>2.0509999999999999E-3</v>
      </c>
    </row>
  </sheetData>
  <sheetProtection algorithmName="SHA-512" hashValue="cQih/XsETfvgC4j5Pl2bxn6U/YLKprfMCOqmOiMnoOiCBsxR4dJmSAKrdjXUZTfbUkr+3zWQJ2qBiLk+CBsLgw==" saltValue="OoKe5kgR/rQVVzCSj/9qrw==" spinCount="100000" sheet="1" objects="1" scenarios="1"/>
  <mergeCells count="13">
    <mergeCell ref="A85:C85"/>
    <mergeCell ref="F57:I59"/>
    <mergeCell ref="H2:I2"/>
    <mergeCell ref="A6:B6"/>
    <mergeCell ref="A8:B8"/>
    <mergeCell ref="A10:B10"/>
    <mergeCell ref="A20:B20"/>
    <mergeCell ref="A22:B22"/>
    <mergeCell ref="A24:B24"/>
    <mergeCell ref="A26:B26"/>
    <mergeCell ref="A28:B28"/>
    <mergeCell ref="A30:B30"/>
    <mergeCell ref="H41:I41"/>
  </mergeCells>
  <conditionalFormatting sqref="E60">
    <cfRule type="expression" dxfId="1" priority="2" stopIfTrue="1">
      <formula>$E$55&gt;1999999.99</formula>
    </cfRule>
  </conditionalFormatting>
  <conditionalFormatting sqref="E61">
    <cfRule type="expression" dxfId="0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&amp;L&amp;"Arial,Fett"&amp;K01+020Angebot TA | Anlagengruppen aufgegliedert
&amp;"Arial,Standard"nach LM.VM.2023&amp;R&amp;"Arial,Standard"&amp;K01+021Version 1
Stand: 15.09.2023</oddHeader>
    <oddFooter>&amp;L&amp;"Arial,Fett"&amp;K01+029LM.VM.2023&amp;"Arial,Standard"  | &amp;A |  Angebotsformular&amp;R&amp;"Arial,Standard"&amp;K01+029&amp;P/&amp;N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Scroll Bar 5">
              <controlPr defaultSize="0" autoPict="0">
                <anchor moveWithCells="1">
                  <from>
                    <xdr:col>7</xdr:col>
                    <xdr:colOff>19050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Scroll Bar 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Scroll Bar 7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m H 6 V s 9 w g 1 m l A A A A 9 g A A A B I A H A B D b 2 5 m a W c v U G F j a 2 F n Z S 5 4 b W w g o h g A K K A U A A A A A A A A A A A A A A A A A A A A A A A A A A A A h Y + 9 D o I w H M R f h X S n H 8 i g 5 E 8 Z 1 E 0 S E x P j 2 p Q K j V A M L Z Z 3 c / C R f A U x i r o 5 3 t 3 v k r v 7 9 Q b Z 0 N T B R X V W t y Z F D F M U K C P b Q p s y R b 0 7 h n O U c d g K e R K l C k b Y 2 G S w O k W V c + e E E O 8 9 9 j P c d i W J K G X k k G 9 2 s l K N C L W x T h i p 0 K d V / G 8 h D v v X G B 5 h x h Y 4 p j G m Q C Y T c m 2 + Q D T u f a Y / J i z 7 2 v W d 4 o U K V 2 s g k w T y / s A f U E s D B B Q A A g A I A K J h +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Y f p W K I p H u A 4 A A A A R A A A A E w A c A E Z v c m 1 1 b G F z L 1 N l Y 3 R p b 2 4 x L m 0 g o h g A K K A U A A A A A A A A A A A A A A A A A A A A A A A A A A A A K 0 5 N L s n M z 1 M I h t C G 1 g B Q S w E C L Q A U A A I A C A C i Y f p W z 3 C D W a U A A A D 2 A A A A E g A A A A A A A A A A A A A A A A A A A A A A Q 2 9 u Z m l n L 1 B h Y 2 t h Z 2 U u e G 1 s U E s B A i 0 A F A A C A A g A o m H 6 V g / K 6 a u k A A A A 6 Q A A A B M A A A A A A A A A A A A A A A A A 8 Q A A A F t D b 2 5 0 Z W 5 0 X 1 R 5 c G V z X S 5 4 b W x Q S w E C L Q A U A A I A C A C i Y f p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9 B u x u P / / U u k a g 8 k R x h 4 e w A A A A A C A A A A A A A D Z g A A w A A A A B A A A A C t 8 m G b m y m e S k U c Q 0 F 5 g q b y A A A A A A S A A A C g A A A A E A A A A P / e L Q q Q j e T x o g D G M J J w d T Z Q A A A A 4 z I / p G w N M k S d j W d H n 7 R 7 h z J O H q G t 3 y L I / V V e a M B 7 G 8 7 Z Q o 1 b F s B p v o z I B i k V u B k m y w I D o M c 5 C A q r E k N l j h f v N y O 7 P T + d 9 Z I 9 R I J v 8 k h V x J I U A A A A i P t n 7 0 F b G A d w F e s s O K d w g i f Q O V 8 = < / D a t a M a s h u p > 
</file>

<file path=customXml/itemProps1.xml><?xml version="1.0" encoding="utf-8"?>
<ds:datastoreItem xmlns:ds="http://schemas.openxmlformats.org/officeDocument/2006/customXml" ds:itemID="{D15134F1-0CC8-4394-A426-98ABD7FF3F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35</vt:i4>
      </vt:variant>
    </vt:vector>
  </HeadingPairs>
  <TitlesOfParts>
    <vt:vector size="41" baseType="lpstr">
      <vt:lpstr>Summenblatt</vt:lpstr>
      <vt:lpstr>TA_SanitärHeizungKlimaLüftung</vt:lpstr>
      <vt:lpstr>TA_Elektro</vt:lpstr>
      <vt:lpstr>TA_Fördertechnik</vt:lpstr>
      <vt:lpstr>TA_Nutzungsspezifische Anlagen</vt:lpstr>
      <vt:lpstr>TA_Gebäudeautomation</vt:lpstr>
      <vt:lpstr>_1</vt:lpstr>
      <vt:lpstr>_1_9</vt:lpstr>
      <vt:lpstr>_2</vt:lpstr>
      <vt:lpstr>_3</vt:lpstr>
      <vt:lpstr>_3.01</vt:lpstr>
      <vt:lpstr>_3.02</vt:lpstr>
      <vt:lpstr>_3.03</vt:lpstr>
      <vt:lpstr>_3.04</vt:lpstr>
      <vt:lpstr>_3.05</vt:lpstr>
      <vt:lpstr>_3.06</vt:lpstr>
      <vt:lpstr>_3.07</vt:lpstr>
      <vt:lpstr>_3.08</vt:lpstr>
      <vt:lpstr>_4</vt:lpstr>
      <vt:lpstr>_5</vt:lpstr>
      <vt:lpstr>_5.01</vt:lpstr>
      <vt:lpstr>_5.02</vt:lpstr>
      <vt:lpstr>_5.03</vt:lpstr>
      <vt:lpstr>_6</vt:lpstr>
      <vt:lpstr>_7</vt:lpstr>
      <vt:lpstr>_8</vt:lpstr>
      <vt:lpstr>_9</vt:lpstr>
      <vt:lpstr>_EK</vt:lpstr>
      <vt:lpstr>_mvB</vt:lpstr>
      <vt:lpstr>Summenblatt!Druckbereich</vt:lpstr>
      <vt:lpstr>TA_Elektro!Druckbereich</vt:lpstr>
      <vt:lpstr>TA_Fördertechnik!Druckbereich</vt:lpstr>
      <vt:lpstr>TA_Gebäudeautomation!Druckbereich</vt:lpstr>
      <vt:lpstr>'TA_Nutzungsspezifische Anlagen'!Druckbereich</vt:lpstr>
      <vt:lpstr>TA_SanitärHeizungKlimaLüftung!Druckbereich</vt:lpstr>
      <vt:lpstr>Summenblatt!Drucktitel</vt:lpstr>
      <vt:lpstr>TA_Elektro!Drucktitel</vt:lpstr>
      <vt:lpstr>TA_Fördertechnik!Drucktitel</vt:lpstr>
      <vt:lpstr>TA_Gebäudeautomation!Drucktitel</vt:lpstr>
      <vt:lpstr>'TA_Nutzungsspezifische Anlagen'!Drucktitel</vt:lpstr>
      <vt:lpstr>TA_SanitärHeizungKlimaLüftung!Drucktitel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2023-11-17T13:16:56Z</cp:lastPrinted>
  <dcterms:created xsi:type="dcterms:W3CDTF">2009-05-04T08:45:42Z</dcterms:created>
  <dcterms:modified xsi:type="dcterms:W3CDTF">2023-11-17T13:18:02Z</dcterms:modified>
</cp:coreProperties>
</file>